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gsccr-my.sharepoint.com/personal/lgsalazar_dgsc_go_cr/Documents/Escritorio/"/>
    </mc:Choice>
  </mc:AlternateContent>
  <xr:revisionPtr revIDLastSave="0" documentId="8_{085BA755-A1B3-4879-80C7-DC359BED9429}" xr6:coauthVersionLast="47" xr6:coauthVersionMax="47" xr10:uidLastSave="{00000000-0000-0000-0000-000000000000}"/>
  <bookViews>
    <workbookView xWindow="28690" yWindow="-110" windowWidth="19420" windowHeight="14860" tabRatio="599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Hoja1!$A$1:$M$139</definedName>
    <definedName name="_Hlk132801961" localSheetId="0">Hoja1!$A$103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8" i="1" l="1"/>
  <c r="I352" i="1"/>
  <c r="H352" i="1"/>
  <c r="E352" i="1"/>
  <c r="F352" i="1" s="1"/>
  <c r="D352" i="1"/>
  <c r="I357" i="1"/>
  <c r="H357" i="1"/>
  <c r="E357" i="1"/>
  <c r="D357" i="1"/>
  <c r="I354" i="1"/>
  <c r="H354" i="1"/>
  <c r="E354" i="1"/>
  <c r="D354" i="1"/>
  <c r="I356" i="1"/>
  <c r="H356" i="1"/>
  <c r="D356" i="1"/>
  <c r="E356" i="1"/>
  <c r="F356" i="1" s="1"/>
  <c r="E351" i="1"/>
  <c r="H351" i="1" s="1"/>
  <c r="D351" i="1"/>
  <c r="I353" i="1"/>
  <c r="H353" i="1"/>
  <c r="E353" i="1"/>
  <c r="F353" i="1" s="1"/>
  <c r="D353" i="1"/>
  <c r="I355" i="1"/>
  <c r="H355" i="1"/>
  <c r="E355" i="1"/>
  <c r="F355" i="1" s="1"/>
  <c r="D355" i="1"/>
  <c r="I343" i="1"/>
  <c r="H343" i="1"/>
  <c r="D343" i="1"/>
  <c r="E343" i="1"/>
  <c r="F343" i="1" s="1"/>
  <c r="I346" i="1"/>
  <c r="H346" i="1"/>
  <c r="H339" i="1"/>
  <c r="E346" i="1"/>
  <c r="F346" i="1" s="1"/>
  <c r="D346" i="1"/>
  <c r="I339" i="1"/>
  <c r="G180" i="1"/>
  <c r="G164" i="1"/>
  <c r="G141" i="1"/>
  <c r="G125" i="1"/>
  <c r="G103" i="1"/>
  <c r="G87" i="1"/>
  <c r="G71" i="1"/>
  <c r="G57" i="1"/>
  <c r="G43" i="1"/>
  <c r="F351" i="1" l="1"/>
  <c r="G30" i="1"/>
  <c r="G19" i="1"/>
  <c r="I345" i="1"/>
  <c r="H345" i="1"/>
  <c r="I337" i="1"/>
  <c r="H337" i="1"/>
  <c r="E337" i="1"/>
  <c r="F337" i="1" s="1"/>
  <c r="D337" i="1"/>
  <c r="D339" i="1" l="1"/>
  <c r="E339" i="1"/>
  <c r="I340" i="1"/>
  <c r="H340" i="1"/>
  <c r="I342" i="1"/>
  <c r="H342" i="1"/>
  <c r="E340" i="1"/>
  <c r="F340" i="1" s="1"/>
  <c r="E341" i="1"/>
  <c r="E342" i="1"/>
  <c r="F342" i="1" s="1"/>
  <c r="D340" i="1"/>
  <c r="D341" i="1"/>
  <c r="D342" i="1"/>
  <c r="E336" i="1"/>
  <c r="D336" i="1"/>
  <c r="F336" i="1" s="1"/>
  <c r="D344" i="1"/>
  <c r="E344" i="1"/>
  <c r="F344" i="1" s="1"/>
  <c r="H344" i="1"/>
  <c r="I344" i="1"/>
  <c r="D345" i="1"/>
  <c r="E345" i="1"/>
  <c r="F345" i="1" s="1"/>
  <c r="I329" i="1"/>
  <c r="H329" i="1"/>
  <c r="E329" i="1"/>
  <c r="F329" i="1" s="1"/>
  <c r="D329" i="1"/>
  <c r="E330" i="1"/>
  <c r="F330" i="1" s="1"/>
  <c r="H347" i="1" l="1"/>
  <c r="I347" i="1"/>
  <c r="I330" i="1"/>
  <c r="H330" i="1"/>
  <c r="D330" i="1"/>
  <c r="I323" i="1"/>
  <c r="H323" i="1"/>
  <c r="D323" i="1"/>
  <c r="E323" i="1"/>
  <c r="F323" i="1" s="1"/>
  <c r="E331" i="1"/>
  <c r="F331" i="1" s="1"/>
  <c r="D331" i="1"/>
  <c r="I325" i="1" l="1"/>
  <c r="H325" i="1"/>
  <c r="I331" i="1"/>
  <c r="H331" i="1"/>
  <c r="I324" i="1"/>
  <c r="H324" i="1"/>
  <c r="D324" i="1"/>
  <c r="E324" i="1"/>
  <c r="F324" i="1" s="1"/>
  <c r="I326" i="1" l="1"/>
  <c r="H326" i="1"/>
  <c r="D325" i="1"/>
  <c r="E325" i="1"/>
  <c r="F325" i="1" s="1"/>
  <c r="D326" i="1"/>
  <c r="E326" i="1"/>
  <c r="F326" i="1" s="1"/>
  <c r="E321" i="1"/>
  <c r="D321" i="1"/>
  <c r="F321" i="1" s="1"/>
  <c r="I322" i="1" l="1"/>
  <c r="I332" i="1" s="1"/>
  <c r="H322" i="1"/>
  <c r="H332" i="1" s="1"/>
  <c r="E322" i="1"/>
  <c r="F322" i="1" s="1"/>
  <c r="D322" i="1"/>
  <c r="I301" i="1"/>
  <c r="H310" i="1" l="1"/>
  <c r="I310" i="1"/>
  <c r="D310" i="1"/>
  <c r="E310" i="1"/>
  <c r="F310" i="1" s="1"/>
  <c r="I311" i="1"/>
  <c r="H311" i="1"/>
  <c r="D311" i="1"/>
  <c r="E311" i="1"/>
  <c r="F311" i="1" s="1"/>
  <c r="H304" i="1" l="1"/>
  <c r="I304" i="1"/>
  <c r="D304" i="1"/>
  <c r="E304" i="1"/>
  <c r="F304" i="1" s="1"/>
  <c r="D308" i="1"/>
  <c r="E308" i="1"/>
  <c r="F308" i="1" s="1"/>
  <c r="H308" i="1"/>
  <c r="I308" i="1"/>
  <c r="I303" i="1"/>
  <c r="H303" i="1"/>
  <c r="D302" i="1"/>
  <c r="E302" i="1"/>
  <c r="D303" i="1"/>
  <c r="E303" i="1"/>
  <c r="F303" i="1" s="1"/>
  <c r="I315" i="1"/>
  <c r="H315" i="1"/>
  <c r="E315" i="1"/>
  <c r="F315" i="1" s="1"/>
  <c r="D315" i="1"/>
  <c r="E306" i="1"/>
  <c r="H305" i="1"/>
  <c r="I305" i="1"/>
  <c r="E312" i="1"/>
  <c r="F312" i="1" s="1"/>
  <c r="D312" i="1"/>
  <c r="H312" i="1"/>
  <c r="I312" i="1"/>
  <c r="I309" i="1"/>
  <c r="H309" i="1"/>
  <c r="D309" i="1"/>
  <c r="E309" i="1"/>
  <c r="F309" i="1" s="1"/>
  <c r="I314" i="1"/>
  <c r="H314" i="1"/>
  <c r="D314" i="1"/>
  <c r="E314" i="1"/>
  <c r="F314" i="1" s="1"/>
  <c r="E300" i="1" l="1"/>
  <c r="D300" i="1"/>
  <c r="F300" i="1" s="1"/>
  <c r="I307" i="1" l="1"/>
  <c r="I316" i="1" s="1"/>
  <c r="H307" i="1"/>
  <c r="H316" i="1" s="1"/>
  <c r="D305" i="1"/>
  <c r="E305" i="1"/>
  <c r="F305" i="1" s="1"/>
  <c r="D307" i="1"/>
  <c r="E307" i="1"/>
  <c r="F307" i="1" s="1"/>
  <c r="E301" i="1"/>
  <c r="D301" i="1"/>
  <c r="H294" i="1"/>
  <c r="I294" i="1"/>
  <c r="D294" i="1"/>
  <c r="E294" i="1"/>
  <c r="F294" i="1" s="1"/>
  <c r="I291" i="1"/>
  <c r="H291" i="1"/>
  <c r="D291" i="1"/>
  <c r="E291" i="1"/>
  <c r="F291" i="1" s="1"/>
  <c r="I293" i="1"/>
  <c r="H293" i="1"/>
  <c r="D293" i="1"/>
  <c r="E293" i="1"/>
  <c r="F293" i="1" s="1"/>
  <c r="I292" i="1"/>
  <c r="H292" i="1"/>
  <c r="D292" i="1"/>
  <c r="E292" i="1"/>
  <c r="F292" i="1" s="1"/>
  <c r="I290" i="1"/>
  <c r="H290" i="1"/>
  <c r="E290" i="1"/>
  <c r="F290" i="1" s="1"/>
  <c r="D290" i="1"/>
  <c r="E295" i="1"/>
  <c r="D295" i="1"/>
  <c r="F295" i="1" s="1"/>
  <c r="E285" i="1"/>
  <c r="D285" i="1"/>
  <c r="F285" i="1" s="1"/>
  <c r="I276" i="1"/>
  <c r="H276" i="1"/>
  <c r="I280" i="1"/>
  <c r="H280" i="1"/>
  <c r="E280" i="1"/>
  <c r="F280" i="1" s="1"/>
  <c r="D280" i="1"/>
  <c r="D281" i="1"/>
  <c r="E281" i="1"/>
  <c r="F281" i="1" s="1"/>
  <c r="H281" i="1"/>
  <c r="I281" i="1"/>
  <c r="I284" i="1"/>
  <c r="H284" i="1"/>
  <c r="D284" i="1"/>
  <c r="E284" i="1"/>
  <c r="F284" i="1" s="1"/>
  <c r="D279" i="1"/>
  <c r="E279" i="1"/>
  <c r="F279" i="1" s="1"/>
  <c r="H279" i="1"/>
  <c r="I279" i="1"/>
  <c r="I278" i="1"/>
  <c r="H278" i="1"/>
  <c r="D278" i="1"/>
  <c r="E278" i="1"/>
  <c r="F278" i="1" s="1"/>
  <c r="E276" i="1"/>
  <c r="F276" i="1" s="1"/>
  <c r="D276" i="1"/>
  <c r="I282" i="1"/>
  <c r="H282" i="1"/>
  <c r="E282" i="1"/>
  <c r="F282" i="1" s="1"/>
  <c r="D282" i="1"/>
  <c r="H255" i="1"/>
  <c r="H254" i="1"/>
  <c r="I255" i="1"/>
  <c r="I254" i="1"/>
  <c r="I267" i="1"/>
  <c r="H267" i="1"/>
  <c r="D267" i="1"/>
  <c r="E267" i="1"/>
  <c r="F267" i="1" s="1"/>
  <c r="H270" i="1"/>
  <c r="I296" i="1" l="1"/>
  <c r="H296" i="1"/>
  <c r="H266" i="1"/>
  <c r="H283" i="1"/>
  <c r="H286" i="1" s="1"/>
  <c r="I283" i="1"/>
  <c r="I286" i="1" s="1"/>
  <c r="E283" i="1"/>
  <c r="D283" i="1"/>
  <c r="I266" i="1"/>
  <c r="D266" i="1"/>
  <c r="E266" i="1"/>
  <c r="I264" i="1" l="1"/>
  <c r="H264" i="1"/>
  <c r="I268" i="1"/>
  <c r="H268" i="1"/>
  <c r="E268" i="1"/>
  <c r="F268" i="1" s="1"/>
  <c r="D268" i="1"/>
  <c r="H269" i="1"/>
  <c r="I269" i="1"/>
  <c r="H263" i="1"/>
  <c r="I262" i="1" l="1"/>
  <c r="H262" i="1"/>
  <c r="E262" i="1"/>
  <c r="F262" i="1" s="1"/>
  <c r="D262" i="1"/>
  <c r="D264" i="1"/>
  <c r="E264" i="1"/>
  <c r="F264" i="1" s="1"/>
  <c r="D265" i="1"/>
  <c r="E265" i="1"/>
  <c r="F265" i="1" s="1"/>
  <c r="H265" i="1"/>
  <c r="I265" i="1"/>
  <c r="D269" i="1"/>
  <c r="E269" i="1"/>
  <c r="F269" i="1" s="1"/>
  <c r="D270" i="1"/>
  <c r="E270" i="1"/>
  <c r="F270" i="1" s="1"/>
  <c r="I270" i="1"/>
  <c r="I263" i="1"/>
  <c r="E263" i="1"/>
  <c r="F263" i="1" s="1"/>
  <c r="D263" i="1"/>
  <c r="E271" i="1"/>
  <c r="D271" i="1"/>
  <c r="F271" i="1" s="1"/>
  <c r="I256" i="1"/>
  <c r="H256" i="1"/>
  <c r="I252" i="1"/>
  <c r="H252" i="1"/>
  <c r="E252" i="1"/>
  <c r="F252" i="1" s="1"/>
  <c r="D252" i="1"/>
  <c r="E257" i="1"/>
  <c r="D257" i="1"/>
  <c r="F257" i="1" s="1"/>
  <c r="I253" i="1"/>
  <c r="H253" i="1"/>
  <c r="E253" i="1"/>
  <c r="F253" i="1" s="1"/>
  <c r="D253" i="1"/>
  <c r="E254" i="1"/>
  <c r="F254" i="1" s="1"/>
  <c r="D254" i="1"/>
  <c r="H272" i="1" l="1"/>
  <c r="I272" i="1"/>
  <c r="I258" i="1"/>
  <c r="H258" i="1"/>
  <c r="I245" i="1"/>
  <c r="H245" i="1"/>
  <c r="I240" i="1" l="1"/>
  <c r="H240" i="1"/>
  <c r="D240" i="1"/>
  <c r="E240" i="1"/>
  <c r="F240" i="1" s="1"/>
  <c r="I241" i="1"/>
  <c r="H241" i="1"/>
  <c r="D241" i="1"/>
  <c r="E241" i="1"/>
  <c r="F241" i="1" s="1"/>
  <c r="I244" i="1"/>
  <c r="H244" i="1"/>
  <c r="I239" i="1"/>
  <c r="H239" i="1"/>
  <c r="E239" i="1"/>
  <c r="F239" i="1" s="1"/>
  <c r="D239" i="1"/>
  <c r="I246" i="1"/>
  <c r="H246" i="1"/>
  <c r="E246" i="1"/>
  <c r="F246" i="1" s="1"/>
  <c r="D246" i="1"/>
  <c r="I243" i="1"/>
  <c r="H243" i="1"/>
  <c r="D243" i="1"/>
  <c r="E243" i="1"/>
  <c r="F243" i="1" s="1"/>
  <c r="D244" i="1"/>
  <c r="E244" i="1"/>
  <c r="F244" i="1" s="1"/>
  <c r="D245" i="1"/>
  <c r="E245" i="1"/>
  <c r="F245" i="1" s="1"/>
  <c r="D247" i="1"/>
  <c r="F247" i="1" s="1"/>
  <c r="E247" i="1"/>
  <c r="I242" i="1"/>
  <c r="H242" i="1"/>
  <c r="E242" i="1"/>
  <c r="F242" i="1" s="1"/>
  <c r="D242" i="1"/>
  <c r="I225" i="1"/>
  <c r="H225" i="1"/>
  <c r="I234" i="1"/>
  <c r="I233" i="1"/>
  <c r="H234" i="1"/>
  <c r="H233" i="1"/>
  <c r="D234" i="1"/>
  <c r="E234" i="1"/>
  <c r="F234" i="1" s="1"/>
  <c r="H248" i="1" l="1"/>
  <c r="I248" i="1"/>
  <c r="I223" i="1"/>
  <c r="H223" i="1"/>
  <c r="D223" i="1"/>
  <c r="E223" i="1"/>
  <c r="F223" i="1" s="1"/>
  <c r="I229" i="1"/>
  <c r="H229" i="1"/>
  <c r="D229" i="1"/>
  <c r="E229" i="1"/>
  <c r="F229" i="1" s="1"/>
  <c r="D233" i="1"/>
  <c r="E233" i="1"/>
  <c r="F233" i="1" s="1"/>
  <c r="I222" i="1"/>
  <c r="H222" i="1"/>
  <c r="E222" i="1"/>
  <c r="F222" i="1" s="1"/>
  <c r="D222" i="1"/>
  <c r="I226" i="1"/>
  <c r="H226" i="1"/>
  <c r="D225" i="1"/>
  <c r="E225" i="1"/>
  <c r="F225" i="1" s="1"/>
  <c r="D226" i="1"/>
  <c r="E226" i="1"/>
  <c r="F226" i="1" s="1"/>
  <c r="I224" i="1"/>
  <c r="H224" i="1"/>
  <c r="E224" i="1"/>
  <c r="F224" i="1" s="1"/>
  <c r="D224" i="1"/>
  <c r="I228" i="1"/>
  <c r="H228" i="1"/>
  <c r="D228" i="1"/>
  <c r="E228" i="1"/>
  <c r="F228" i="1" s="1"/>
  <c r="I231" i="1"/>
  <c r="H231" i="1"/>
  <c r="D231" i="1"/>
  <c r="E231" i="1"/>
  <c r="F231" i="1" s="1"/>
  <c r="I232" i="1"/>
  <c r="H232" i="1"/>
  <c r="D232" i="1"/>
  <c r="E232" i="1"/>
  <c r="F232" i="1" s="1"/>
  <c r="I227" i="1" l="1"/>
  <c r="I235" i="1" s="1"/>
  <c r="H227" i="1"/>
  <c r="H235" i="1" s="1"/>
  <c r="E227" i="1"/>
  <c r="F227" i="1" s="1"/>
  <c r="D227" i="1"/>
  <c r="I217" i="1" l="1"/>
  <c r="H217" i="1"/>
  <c r="I215" i="1"/>
  <c r="H215" i="1"/>
  <c r="I212" i="1" l="1"/>
  <c r="H212" i="1"/>
  <c r="I210" i="1"/>
  <c r="H210" i="1"/>
  <c r="D210" i="1"/>
  <c r="E210" i="1"/>
  <c r="F210" i="1" s="1"/>
  <c r="I216" i="1"/>
  <c r="H216" i="1"/>
  <c r="D215" i="1"/>
  <c r="E215" i="1"/>
  <c r="F215" i="1" s="1"/>
  <c r="D216" i="1"/>
  <c r="E216" i="1"/>
  <c r="F216" i="1" s="1"/>
  <c r="D217" i="1"/>
  <c r="E217" i="1"/>
  <c r="F217" i="1" s="1"/>
  <c r="I213" i="1"/>
  <c r="H213" i="1"/>
  <c r="D213" i="1"/>
  <c r="E213" i="1"/>
  <c r="F213" i="1" s="1"/>
  <c r="H203" i="1"/>
  <c r="I203" i="1"/>
  <c r="H185" i="1"/>
  <c r="I185" i="1"/>
  <c r="I198" i="1"/>
  <c r="H198" i="1"/>
  <c r="E199" i="1"/>
  <c r="D198" i="1"/>
  <c r="E198" i="1"/>
  <c r="F198" i="1" s="1"/>
  <c r="I200" i="1"/>
  <c r="H200" i="1"/>
  <c r="D200" i="1"/>
  <c r="E200" i="1"/>
  <c r="F200" i="1" s="1"/>
  <c r="I196" i="1"/>
  <c r="H196" i="1"/>
  <c r="D196" i="1"/>
  <c r="E196" i="1"/>
  <c r="F196" i="1" s="1"/>
  <c r="I195" i="1"/>
  <c r="H195" i="1"/>
  <c r="D195" i="1"/>
  <c r="E195" i="1"/>
  <c r="F195" i="1" s="1"/>
  <c r="I193" i="1" l="1"/>
  <c r="H193" i="1"/>
  <c r="D193" i="1"/>
  <c r="E193" i="1"/>
  <c r="F193" i="1" s="1"/>
  <c r="H192" i="1"/>
  <c r="I192" i="1"/>
  <c r="D192" i="1"/>
  <c r="E192" i="1"/>
  <c r="F192" i="1" s="1"/>
  <c r="I191" i="1" l="1"/>
  <c r="H191" i="1"/>
  <c r="D191" i="1"/>
  <c r="E191" i="1"/>
  <c r="F191" i="1" s="1"/>
  <c r="D185" i="1"/>
  <c r="E185" i="1"/>
  <c r="F185" i="1" s="1"/>
  <c r="H178" i="1"/>
  <c r="I214" i="1"/>
  <c r="H214" i="1"/>
  <c r="I173" i="1"/>
  <c r="I174" i="1"/>
  <c r="I209" i="1"/>
  <c r="H209" i="1"/>
  <c r="E209" i="1"/>
  <c r="F209" i="1" s="1"/>
  <c r="D209" i="1"/>
  <c r="I218" i="1" l="1"/>
  <c r="H218" i="1"/>
  <c r="I194" i="1"/>
  <c r="H194" i="1"/>
  <c r="D194" i="1"/>
  <c r="E194" i="1"/>
  <c r="F194" i="1" s="1"/>
  <c r="E203" i="1"/>
  <c r="F203" i="1" s="1"/>
  <c r="D203" i="1"/>
  <c r="I197" i="1"/>
  <c r="H197" i="1"/>
  <c r="E197" i="1"/>
  <c r="F197" i="1" s="1"/>
  <c r="D197" i="1"/>
  <c r="D176" i="1"/>
  <c r="I176" i="1"/>
  <c r="H176" i="1"/>
  <c r="H159" i="1"/>
  <c r="I159" i="1"/>
  <c r="E176" i="1"/>
  <c r="F176" i="1" s="1"/>
  <c r="H174" i="1"/>
  <c r="I201" i="1"/>
  <c r="H201" i="1"/>
  <c r="E201" i="1"/>
  <c r="D201" i="1"/>
  <c r="I179" i="1"/>
  <c r="H179" i="1"/>
  <c r="D179" i="1"/>
  <c r="E179" i="1"/>
  <c r="I184" i="1"/>
  <c r="H184" i="1"/>
  <c r="E184" i="1"/>
  <c r="D184" i="1"/>
  <c r="I168" i="1"/>
  <c r="H168" i="1"/>
  <c r="E168" i="1"/>
  <c r="D168" i="1"/>
  <c r="I178" i="1"/>
  <c r="E178" i="1"/>
  <c r="F178" i="1" s="1"/>
  <c r="D178" i="1"/>
  <c r="E161" i="1"/>
  <c r="D161" i="1"/>
  <c r="H161" i="1" s="1"/>
  <c r="H173" i="1"/>
  <c r="E212" i="1"/>
  <c r="F212" i="1" s="1"/>
  <c r="D212" i="1"/>
  <c r="I189" i="1"/>
  <c r="H189" i="1"/>
  <c r="E189" i="1"/>
  <c r="D189" i="1"/>
  <c r="E214" i="1"/>
  <c r="F214" i="1" s="1"/>
  <c r="D214" i="1"/>
  <c r="I190" i="1"/>
  <c r="H190" i="1"/>
  <c r="E190" i="1"/>
  <c r="D190" i="1"/>
  <c r="I175" i="1"/>
  <c r="H175" i="1"/>
  <c r="I177" i="1"/>
  <c r="H177" i="1"/>
  <c r="D174" i="1"/>
  <c r="E174" i="1"/>
  <c r="F174" i="1" s="1"/>
  <c r="D175" i="1"/>
  <c r="E175" i="1"/>
  <c r="F175" i="1" s="1"/>
  <c r="D177" i="1"/>
  <c r="E177" i="1"/>
  <c r="I204" i="1" l="1"/>
  <c r="H204" i="1"/>
  <c r="D154" i="1"/>
  <c r="I154" i="1"/>
  <c r="H154" i="1"/>
  <c r="E154" i="1"/>
  <c r="F154" i="1" s="1"/>
  <c r="I152" i="1"/>
  <c r="I150" i="1"/>
  <c r="I170" i="1"/>
  <c r="H170" i="1"/>
  <c r="E170" i="1"/>
  <c r="F170" i="1" s="1"/>
  <c r="D170" i="1"/>
  <c r="E173" i="1" l="1"/>
  <c r="D173" i="1"/>
  <c r="H147" i="1"/>
  <c r="I147" i="1"/>
  <c r="I148" i="1"/>
  <c r="H148" i="1"/>
  <c r="D148" i="1"/>
  <c r="E148" i="1"/>
  <c r="F148" i="1" s="1"/>
  <c r="E163" i="1"/>
  <c r="D163" i="1"/>
  <c r="F163" i="1" s="1"/>
  <c r="I156" i="1" l="1"/>
  <c r="H156" i="1"/>
  <c r="E158" i="1"/>
  <c r="F158" i="1" s="1"/>
  <c r="H150" i="1"/>
  <c r="E157" i="1" l="1"/>
  <c r="F157" i="1" s="1"/>
  <c r="D150" i="1" l="1"/>
  <c r="E150" i="1"/>
  <c r="F150" i="1" s="1"/>
  <c r="E162" i="1" l="1"/>
  <c r="F162" i="1" s="1"/>
  <c r="D162" i="1"/>
  <c r="I162" i="1"/>
  <c r="H162" i="1"/>
  <c r="D159" i="1" l="1"/>
  <c r="E159" i="1"/>
  <c r="F159" i="1" s="1"/>
  <c r="H172" i="1"/>
  <c r="H180" i="1" s="1"/>
  <c r="I172" i="1"/>
  <c r="I180" i="1" s="1"/>
  <c r="E172" i="1"/>
  <c r="D172" i="1"/>
  <c r="H152" i="1"/>
  <c r="E152" i="1"/>
  <c r="F152" i="1" s="1"/>
  <c r="D152" i="1"/>
  <c r="E156" i="1"/>
  <c r="F156" i="1" s="1"/>
  <c r="D156" i="1"/>
  <c r="H155" i="1"/>
  <c r="I155" i="1"/>
  <c r="D155" i="1"/>
  <c r="E155" i="1"/>
  <c r="F155" i="1" s="1"/>
  <c r="E147" i="1"/>
  <c r="D147" i="1"/>
  <c r="I153" i="1"/>
  <c r="H153" i="1"/>
  <c r="D153" i="1"/>
  <c r="E153" i="1"/>
  <c r="F153" i="1" s="1"/>
  <c r="D160" i="1"/>
  <c r="E160" i="1"/>
  <c r="F160" i="1" s="1"/>
  <c r="H160" i="1"/>
  <c r="I160" i="1"/>
  <c r="I149" i="1"/>
  <c r="H149" i="1"/>
  <c r="E149" i="1"/>
  <c r="F149" i="1" s="1"/>
  <c r="D149" i="1"/>
  <c r="I145" i="1"/>
  <c r="H145" i="1"/>
  <c r="E140" i="1"/>
  <c r="D140" i="1"/>
  <c r="H140" i="1" s="1"/>
  <c r="F140" i="1" l="1"/>
  <c r="I129" i="1"/>
  <c r="H129" i="1"/>
  <c r="E129" i="1"/>
  <c r="F129" i="1" s="1"/>
  <c r="D129" i="1"/>
  <c r="I133" i="1"/>
  <c r="H133" i="1"/>
  <c r="D133" i="1"/>
  <c r="E133" i="1"/>
  <c r="I136" i="1" l="1"/>
  <c r="H136" i="1"/>
  <c r="D136" i="1"/>
  <c r="E136" i="1"/>
  <c r="F136" i="1" s="1"/>
  <c r="H137" i="1"/>
  <c r="H139" i="1"/>
  <c r="I137" i="1" l="1"/>
  <c r="D137" i="1"/>
  <c r="E137" i="1"/>
  <c r="F137" i="1" s="1"/>
  <c r="D139" i="1"/>
  <c r="E139" i="1"/>
  <c r="F139" i="1" s="1"/>
  <c r="I139" i="1"/>
  <c r="I135" i="1"/>
  <c r="H135" i="1"/>
  <c r="E135" i="1"/>
  <c r="F135" i="1" s="1"/>
  <c r="D135" i="1"/>
  <c r="I134" i="1"/>
  <c r="H134" i="1"/>
  <c r="E134" i="1"/>
  <c r="F134" i="1" s="1"/>
  <c r="D134" i="1"/>
  <c r="I146" i="1"/>
  <c r="I164" i="1" s="1"/>
  <c r="H146" i="1"/>
  <c r="E146" i="1"/>
  <c r="D146" i="1"/>
  <c r="I131" i="1" l="1"/>
  <c r="H131" i="1"/>
  <c r="D131" i="1"/>
  <c r="E131" i="1"/>
  <c r="H164" i="1"/>
  <c r="E138" i="1"/>
  <c r="D138" i="1"/>
  <c r="H138" i="1" s="1"/>
  <c r="I132" i="1" l="1"/>
  <c r="H132" i="1"/>
  <c r="D132" i="1"/>
  <c r="E132" i="1"/>
  <c r="F132" i="1" s="1"/>
  <c r="I122" i="1"/>
  <c r="I119" i="1"/>
  <c r="H119" i="1"/>
  <c r="D120" i="1" l="1"/>
  <c r="E120" i="1"/>
  <c r="F120" i="1" s="1"/>
  <c r="H120" i="1"/>
  <c r="I120" i="1"/>
  <c r="E119" i="1"/>
  <c r="F119" i="1" s="1"/>
  <c r="D119" i="1"/>
  <c r="I121" i="1"/>
  <c r="H121" i="1"/>
  <c r="D121" i="1"/>
  <c r="E121" i="1"/>
  <c r="F121" i="1" s="1"/>
  <c r="E145" i="1"/>
  <c r="D145" i="1"/>
  <c r="I130" i="1"/>
  <c r="I141" i="1" s="1"/>
  <c r="H130" i="1"/>
  <c r="H141" i="1" s="1"/>
  <c r="D116" i="1"/>
  <c r="E116" i="1"/>
  <c r="F116" i="1" s="1"/>
  <c r="H116" i="1"/>
  <c r="I116" i="1"/>
  <c r="I115" i="1"/>
  <c r="H115" i="1"/>
  <c r="E115" i="1"/>
  <c r="F115" i="1" s="1"/>
  <c r="D115" i="1"/>
  <c r="I118" i="1"/>
  <c r="H118" i="1"/>
  <c r="D118" i="1" l="1"/>
  <c r="E118" i="1"/>
  <c r="F118" i="1" s="1"/>
  <c r="I107" i="1"/>
  <c r="H107" i="1"/>
  <c r="I108" i="1"/>
  <c r="H108" i="1"/>
  <c r="E130" i="1"/>
  <c r="D130" i="1"/>
  <c r="D122" i="1" l="1"/>
  <c r="E122" i="1"/>
  <c r="H122" i="1" s="1"/>
  <c r="I113" i="1"/>
  <c r="H113" i="1"/>
  <c r="I112" i="1"/>
  <c r="H112" i="1"/>
  <c r="I110" i="1"/>
  <c r="I111" i="1"/>
  <c r="H111" i="1"/>
  <c r="F122" i="1" l="1"/>
  <c r="H110" i="1"/>
  <c r="E107" i="1"/>
  <c r="F107" i="1" s="1"/>
  <c r="D107" i="1"/>
  <c r="I117" i="1"/>
  <c r="H117" i="1"/>
  <c r="E117" i="1"/>
  <c r="F117" i="1" s="1"/>
  <c r="D117" i="1"/>
  <c r="H114" i="1"/>
  <c r="I114" i="1"/>
  <c r="D114" i="1"/>
  <c r="E114" i="1"/>
  <c r="F114" i="1" s="1"/>
  <c r="D112" i="1"/>
  <c r="E112" i="1"/>
  <c r="F112" i="1" s="1"/>
  <c r="I97" i="1"/>
  <c r="H97" i="1"/>
  <c r="D97" i="1"/>
  <c r="E97" i="1"/>
  <c r="F97" i="1" s="1"/>
  <c r="D98" i="1"/>
  <c r="E98" i="1"/>
  <c r="F98" i="1" s="1"/>
  <c r="H98" i="1"/>
  <c r="I98" i="1"/>
  <c r="E124" i="1"/>
  <c r="D124" i="1"/>
  <c r="F124" i="1" s="1"/>
  <c r="H99" i="1"/>
  <c r="E123" i="1"/>
  <c r="F123" i="1" s="1"/>
  <c r="D123" i="1"/>
  <c r="I100" i="1"/>
  <c r="H100" i="1"/>
  <c r="I99" i="1"/>
  <c r="E99" i="1"/>
  <c r="D99" i="1"/>
  <c r="H123" i="1" l="1"/>
  <c r="H124" i="1"/>
  <c r="A100" i="1"/>
  <c r="B100" i="1"/>
  <c r="I96" i="1"/>
  <c r="H96" i="1"/>
  <c r="E96" i="1"/>
  <c r="F96" i="1" s="1"/>
  <c r="D96" i="1"/>
  <c r="I93" i="1"/>
  <c r="H93" i="1"/>
  <c r="D93" i="1"/>
  <c r="E93" i="1"/>
  <c r="F93" i="1" s="1"/>
  <c r="I92" i="1"/>
  <c r="H92" i="1"/>
  <c r="D92" i="1"/>
  <c r="E92" i="1"/>
  <c r="F92" i="1" s="1"/>
  <c r="I109" i="1" l="1"/>
  <c r="I125" i="1" s="1"/>
  <c r="H109" i="1"/>
  <c r="H125" i="1" s="1"/>
  <c r="E109" i="1"/>
  <c r="D109" i="1"/>
  <c r="I91" i="1"/>
  <c r="H91" i="1"/>
  <c r="E91" i="1"/>
  <c r="D91" i="1"/>
  <c r="I94" i="1" l="1"/>
  <c r="H94" i="1"/>
  <c r="E94" i="1"/>
  <c r="F94" i="1" s="1"/>
  <c r="D94" i="1"/>
  <c r="I77" i="1"/>
  <c r="H77" i="1"/>
  <c r="D77" i="1"/>
  <c r="E77" i="1"/>
  <c r="F77" i="1" s="1"/>
  <c r="I76" i="1"/>
  <c r="H76" i="1"/>
  <c r="E76" i="1"/>
  <c r="F76" i="1" s="1"/>
  <c r="D76" i="1"/>
  <c r="I83" i="1"/>
  <c r="H83" i="1"/>
  <c r="E83" i="1"/>
  <c r="F83" i="1" s="1"/>
  <c r="D83" i="1"/>
  <c r="D85" i="1"/>
  <c r="E85" i="1"/>
  <c r="F85" i="1" s="1"/>
  <c r="H85" i="1"/>
  <c r="I85" i="1"/>
  <c r="E75" i="1"/>
  <c r="I75" i="1" l="1"/>
  <c r="H75" i="1"/>
  <c r="F75" i="1"/>
  <c r="D75" i="1"/>
  <c r="I84" i="1"/>
  <c r="H84" i="1"/>
  <c r="D84" i="1"/>
  <c r="E84" i="1"/>
  <c r="F84" i="1" s="1"/>
  <c r="I95" i="1"/>
  <c r="I103" i="1" s="1"/>
  <c r="H95" i="1"/>
  <c r="E95" i="1"/>
  <c r="F95" i="1" s="1"/>
  <c r="D95" i="1"/>
  <c r="I82" i="1"/>
  <c r="I80" i="1"/>
  <c r="E82" i="1" l="1"/>
  <c r="D82" i="1"/>
  <c r="H82" i="1"/>
  <c r="I78" i="1"/>
  <c r="H78" i="1"/>
  <c r="E78" i="1"/>
  <c r="F78" i="1" s="1"/>
  <c r="D78" i="1"/>
  <c r="E102" i="1"/>
  <c r="D102" i="1"/>
  <c r="H102" i="1" s="1"/>
  <c r="H103" i="1" s="1"/>
  <c r="I79" i="1"/>
  <c r="H79" i="1"/>
  <c r="E79" i="1"/>
  <c r="F79" i="1" s="1"/>
  <c r="D79" i="1"/>
  <c r="H80" i="1"/>
  <c r="E80" i="1"/>
  <c r="F80" i="1" s="1"/>
  <c r="D80" i="1"/>
  <c r="E86" i="1"/>
  <c r="D86" i="1"/>
  <c r="H86" i="1" s="1"/>
  <c r="I65" i="1"/>
  <c r="H87" i="1" l="1"/>
  <c r="I87" i="1"/>
  <c r="F102" i="1"/>
  <c r="F86" i="1"/>
  <c r="I69" i="1"/>
  <c r="H69" i="1"/>
  <c r="D69" i="1"/>
  <c r="E69" i="1"/>
  <c r="F69" i="1" s="1"/>
  <c r="D64" i="1" l="1"/>
  <c r="E64" i="1"/>
  <c r="D65" i="1"/>
  <c r="E65" i="1"/>
  <c r="F65" i="1" s="1"/>
  <c r="H65" i="1" s="1"/>
  <c r="I67" i="1" l="1"/>
  <c r="H67" i="1"/>
  <c r="D67" i="1"/>
  <c r="E67" i="1"/>
  <c r="I61" i="1"/>
  <c r="H61" i="1"/>
  <c r="E61" i="1"/>
  <c r="F61" i="1" s="1"/>
  <c r="D61" i="1"/>
  <c r="H68" i="1" l="1"/>
  <c r="I68" i="1"/>
  <c r="E68" i="1"/>
  <c r="F68" i="1" s="1"/>
  <c r="D68" i="1"/>
  <c r="I62" i="1"/>
  <c r="I63" i="1"/>
  <c r="H63" i="1"/>
  <c r="D63" i="1"/>
  <c r="E63" i="1"/>
  <c r="F63" i="1" s="1"/>
  <c r="H62" i="1"/>
  <c r="E62" i="1"/>
  <c r="F62" i="1" s="1"/>
  <c r="D62" i="1"/>
  <c r="I66" i="1"/>
  <c r="H66" i="1"/>
  <c r="E66" i="1"/>
  <c r="F66" i="1" s="1"/>
  <c r="D66" i="1"/>
  <c r="I71" i="1" l="1"/>
  <c r="E70" i="1"/>
  <c r="D70" i="1"/>
  <c r="F70" i="1" s="1"/>
  <c r="H52" i="1"/>
  <c r="H70" i="1" l="1"/>
  <c r="H71" i="1" s="1"/>
  <c r="I54" i="1"/>
  <c r="H54" i="1"/>
  <c r="D54" i="1"/>
  <c r="E54" i="1"/>
  <c r="F54" i="1" s="1"/>
  <c r="I52" i="1"/>
  <c r="D52" i="1"/>
  <c r="E52" i="1"/>
  <c r="F52" i="1" s="1"/>
  <c r="I55" i="1"/>
  <c r="H55" i="1"/>
  <c r="D55" i="1"/>
  <c r="E55" i="1"/>
  <c r="F55" i="1" s="1"/>
  <c r="I48" i="1"/>
  <c r="H48" i="1"/>
  <c r="D48" i="1"/>
  <c r="E48" i="1"/>
  <c r="F48" i="1" s="1"/>
  <c r="I49" i="1"/>
  <c r="H49" i="1"/>
  <c r="D49" i="1"/>
  <c r="E49" i="1"/>
  <c r="F49" i="1" s="1"/>
  <c r="E51" i="1"/>
  <c r="D51" i="1"/>
  <c r="I47" i="1"/>
  <c r="H47" i="1"/>
  <c r="E47" i="1"/>
  <c r="F47" i="1" s="1"/>
  <c r="D47" i="1"/>
  <c r="I53" i="1"/>
  <c r="H53" i="1"/>
  <c r="E56" i="1" l="1"/>
  <c r="D56" i="1"/>
  <c r="H56" i="1" s="1"/>
  <c r="E53" i="1"/>
  <c r="F53" i="1" s="1"/>
  <c r="D53" i="1"/>
  <c r="I50" i="1"/>
  <c r="I57" i="1" s="1"/>
  <c r="H50" i="1"/>
  <c r="E50" i="1"/>
  <c r="F50" i="1" s="1"/>
  <c r="D50" i="1"/>
  <c r="I34" i="1"/>
  <c r="H34" i="1"/>
  <c r="D35" i="1"/>
  <c r="E35" i="1"/>
  <c r="E34" i="1"/>
  <c r="F34" i="1" s="1"/>
  <c r="H57" i="1" l="1"/>
  <c r="F56" i="1"/>
  <c r="I39" i="1"/>
  <c r="H39" i="1"/>
  <c r="D39" i="1"/>
  <c r="E39" i="1"/>
  <c r="F39" i="1" s="1"/>
  <c r="D34" i="1"/>
  <c r="H37" i="1"/>
  <c r="I37" i="1"/>
  <c r="D37" i="1"/>
  <c r="E37" i="1"/>
  <c r="F37" i="1" s="1"/>
  <c r="I41" i="1"/>
  <c r="H41" i="1"/>
  <c r="D41" i="1"/>
  <c r="E41" i="1"/>
  <c r="F41" i="1" s="1"/>
  <c r="I38" i="1" l="1"/>
  <c r="H38" i="1"/>
  <c r="E38" i="1"/>
  <c r="F38" i="1" s="1"/>
  <c r="D38" i="1"/>
  <c r="I36" i="1" l="1"/>
  <c r="H36" i="1"/>
  <c r="E36" i="1"/>
  <c r="F36" i="1" s="1"/>
  <c r="D36" i="1"/>
  <c r="H40" i="1"/>
  <c r="I40" i="1"/>
  <c r="I28" i="1"/>
  <c r="H25" i="1"/>
  <c r="I25" i="1"/>
  <c r="H23" i="1"/>
  <c r="I23" i="1"/>
  <c r="I26" i="1"/>
  <c r="H26" i="1"/>
  <c r="D26" i="1"/>
  <c r="E26" i="1"/>
  <c r="F26" i="1" s="1"/>
  <c r="E42" i="1"/>
  <c r="D42" i="1"/>
  <c r="H42" i="1" s="1"/>
  <c r="E40" i="1"/>
  <c r="F40" i="1" s="1"/>
  <c r="D40" i="1"/>
  <c r="E23" i="1"/>
  <c r="F23" i="1" s="1"/>
  <c r="D23" i="1"/>
  <c r="E29" i="1"/>
  <c r="D29" i="1"/>
  <c r="F29" i="1" s="1"/>
  <c r="I24" i="1"/>
  <c r="H24" i="1"/>
  <c r="E24" i="1"/>
  <c r="F24" i="1" s="1"/>
  <c r="D24" i="1"/>
  <c r="H43" i="1" l="1"/>
  <c r="I43" i="1"/>
  <c r="F42" i="1"/>
  <c r="H29" i="1"/>
  <c r="H28" i="1"/>
  <c r="D28" i="1"/>
  <c r="E28" i="1"/>
  <c r="F28" i="1" s="1"/>
  <c r="E25" i="1" l="1"/>
  <c r="F25" i="1" s="1"/>
  <c r="D25" i="1"/>
  <c r="I27" i="1"/>
  <c r="H27" i="1"/>
  <c r="D27" i="1"/>
  <c r="E27" i="1"/>
  <c r="F27" i="1" s="1"/>
  <c r="I14" i="1"/>
  <c r="H14" i="1"/>
  <c r="I18" i="1"/>
  <c r="H18" i="1"/>
  <c r="E18" i="1"/>
  <c r="F18" i="1" s="1"/>
  <c r="D18" i="1"/>
  <c r="I11" i="1"/>
  <c r="H11" i="1"/>
  <c r="D11" i="1"/>
  <c r="E11" i="1"/>
  <c r="F11" i="1" s="1"/>
  <c r="I9" i="1"/>
  <c r="H9" i="1"/>
  <c r="E9" i="1"/>
  <c r="F9" i="1" s="1"/>
  <c r="D9" i="1"/>
  <c r="I30" i="1" l="1"/>
  <c r="H30" i="1"/>
  <c r="I17" i="1"/>
  <c r="I15" i="1"/>
  <c r="H15" i="1"/>
  <c r="D15" i="1"/>
  <c r="E15" i="1"/>
  <c r="F15" i="1" s="1"/>
  <c r="D14" i="1" l="1"/>
  <c r="E14" i="1"/>
  <c r="F14" i="1" s="1"/>
  <c r="I12" i="1" l="1"/>
  <c r="I19" i="1" s="1"/>
  <c r="H12" i="1"/>
  <c r="H19" i="1" s="1"/>
  <c r="I2" i="1"/>
  <c r="I3" i="1" s="1"/>
  <c r="I6" i="1" s="1"/>
  <c r="H2" i="1"/>
  <c r="H3" i="1" s="1"/>
  <c r="H6" i="1" s="1"/>
  <c r="E12" i="1"/>
  <c r="D12" i="1"/>
  <c r="E2" i="1"/>
  <c r="D2" i="1"/>
  <c r="H21" i="1" l="1"/>
  <c r="H32" i="1" s="1"/>
  <c r="H45" i="1" s="1"/>
  <c r="H59" i="1" s="1"/>
  <c r="H73" i="1" s="1"/>
  <c r="H89" i="1" s="1"/>
  <c r="H105" i="1" s="1"/>
  <c r="H127" i="1" s="1"/>
  <c r="H143" i="1" s="1"/>
  <c r="H166" i="1" s="1"/>
  <c r="H182" i="1" s="1"/>
  <c r="H207" i="1" s="1"/>
  <c r="H220" i="1" s="1"/>
  <c r="I5" i="1"/>
  <c r="I21" i="1" s="1"/>
  <c r="I32" i="1" s="1"/>
  <c r="I45" i="1" s="1"/>
  <c r="I59" i="1" s="1"/>
  <c r="I73" i="1" s="1"/>
  <c r="I89" i="1" s="1"/>
  <c r="I105" i="1" s="1"/>
  <c r="I127" i="1" s="1"/>
  <c r="I143" i="1" s="1"/>
  <c r="I166" i="1" s="1"/>
  <c r="I182" i="1" s="1"/>
  <c r="I206" i="1" s="1"/>
  <c r="I220" i="1" s="1"/>
  <c r="I237" i="1" s="1"/>
  <c r="I250" i="1" s="1"/>
  <c r="H20" i="1"/>
  <c r="H31" i="1" s="1"/>
  <c r="H44" i="1" s="1"/>
  <c r="H58" i="1" s="1"/>
  <c r="H72" i="1" s="1"/>
  <c r="H88" i="1" s="1"/>
  <c r="H104" i="1" s="1"/>
  <c r="H126" i="1" s="1"/>
  <c r="H142" i="1" s="1"/>
  <c r="H165" i="1" s="1"/>
  <c r="H181" i="1" s="1"/>
  <c r="H205" i="1" s="1"/>
  <c r="H219" i="1" s="1"/>
  <c r="H236" i="1" s="1"/>
  <c r="H249" i="1" s="1"/>
  <c r="H259" i="1" l="1"/>
  <c r="H273" i="1" s="1"/>
  <c r="H287" i="1" s="1"/>
  <c r="H297" i="1" s="1"/>
  <c r="H317" i="1" s="1"/>
  <c r="H333" i="1" s="1"/>
  <c r="H348" i="1" s="1"/>
  <c r="I260" i="1"/>
  <c r="I274" i="1" s="1"/>
  <c r="I288" i="1" s="1"/>
  <c r="I298" i="1" s="1"/>
  <c r="I318" i="1" s="1"/>
  <c r="I334" i="1" s="1"/>
  <c r="I349" i="1" s="1"/>
</calcChain>
</file>

<file path=xl/sharedStrings.xml><?xml version="1.0" encoding="utf-8"?>
<sst xmlns="http://schemas.openxmlformats.org/spreadsheetml/2006/main" count="864" uniqueCount="432">
  <si>
    <t>fecha</t>
  </si>
  <si>
    <t>funcionario</t>
  </si>
  <si>
    <t>Salario total</t>
  </si>
  <si>
    <t>S Quincenal</t>
  </si>
  <si>
    <t>S diario</t>
  </si>
  <si>
    <t>S reportado</t>
  </si>
  <si>
    <t>Dias incapac</t>
  </si>
  <si>
    <t>Desde</t>
  </si>
  <si>
    <t>Hasta</t>
  </si>
  <si>
    <t>Boleta</t>
  </si>
  <si>
    <t>Médico</t>
  </si>
  <si>
    <t>DGSC paga</t>
  </si>
  <si>
    <t>CCSS paga</t>
  </si>
  <si>
    <t>Servidor"no percibe"</t>
  </si>
  <si>
    <t>Prim 3 días</t>
  </si>
  <si>
    <t>Día 4 a día 30</t>
  </si>
  <si>
    <t>más de 30 días</t>
  </si>
  <si>
    <t>Maternidad</t>
  </si>
  <si>
    <t>Rangos acumulativos, para tener derecho al subsidio de 40% debe haber pasado por 3 días al 80% y los 27 al 20%</t>
  </si>
  <si>
    <t>Incapacidades RT-INS</t>
  </si>
  <si>
    <t xml:space="preserve">INS paga  </t>
  </si>
  <si>
    <t>ejemplo</t>
  </si>
  <si>
    <t>1-30 días</t>
  </si>
  <si>
    <t>07/07 al 06/08</t>
  </si>
  <si>
    <t>31-45 días</t>
  </si>
  <si>
    <t>07/08 al 21/08</t>
  </si>
  <si>
    <t>46-730 días</t>
  </si>
  <si>
    <t>Fórmula</t>
  </si>
  <si>
    <t>Fórmula patrono: salario total/30 (menos) el salario mínimo legal  MTSS/30= diferencia por día*33%</t>
  </si>
  <si>
    <t>HDRCG</t>
  </si>
  <si>
    <t>Chacón Rojas Luis Fernando</t>
  </si>
  <si>
    <t>A00210122025543</t>
  </si>
  <si>
    <t>Calvo Umaña Mauricio</t>
  </si>
  <si>
    <t>6146291 Z</t>
  </si>
  <si>
    <t>AGRC</t>
  </si>
  <si>
    <t>Marín Rodríguez Anabelle</t>
  </si>
  <si>
    <t>A00210123001133</t>
  </si>
  <si>
    <t>AHORRO</t>
  </si>
  <si>
    <t>Caravaca Vargas Rocío</t>
  </si>
  <si>
    <t>6146292 Z</t>
  </si>
  <si>
    <t>A00210123001450</t>
  </si>
  <si>
    <t>Abarca Martínez Dennis</t>
  </si>
  <si>
    <t>Ávila Morales Ofelia</t>
  </si>
  <si>
    <t>6146294 Z</t>
  </si>
  <si>
    <t>6146295 Z</t>
  </si>
  <si>
    <t>12/012023</t>
  </si>
  <si>
    <t>A22160923000023</t>
  </si>
  <si>
    <t>Á S Alajuela Norte</t>
  </si>
  <si>
    <t>A00221123000859</t>
  </si>
  <si>
    <t>Á S Goicoechea</t>
  </si>
  <si>
    <t>DISPONIBLE</t>
  </si>
  <si>
    <t>A22170323000026</t>
  </si>
  <si>
    <t>E San Isidro Norte</t>
  </si>
  <si>
    <t>Rojas Villalobos Karen</t>
  </si>
  <si>
    <t>6146297 Z</t>
  </si>
  <si>
    <t>2022D008119</t>
  </si>
  <si>
    <t>INS</t>
  </si>
  <si>
    <t>A00231423002016</t>
  </si>
  <si>
    <t>Á S ZAPOTE - CATEDLA</t>
  </si>
  <si>
    <t>Ruiz Salazar Jennifer</t>
  </si>
  <si>
    <t>6146300 Z</t>
  </si>
  <si>
    <t>MATERNIDAD AGRC</t>
  </si>
  <si>
    <t>ASIGNADO</t>
  </si>
  <si>
    <t>EBAIS CANOAS B</t>
  </si>
  <si>
    <t>A22161723000043</t>
  </si>
  <si>
    <t>Raudez García Celina</t>
  </si>
  <si>
    <t>202303000701</t>
  </si>
  <si>
    <t>Morales Carvajal Gilberto</t>
  </si>
  <si>
    <t>6354152 Z</t>
  </si>
  <si>
    <t>Peña Mora Jaqueline</t>
  </si>
  <si>
    <t>6354153 Z</t>
  </si>
  <si>
    <t>Salinas Gómez Luis</t>
  </si>
  <si>
    <t>A00221923001577</t>
  </si>
  <si>
    <t>A S TIBAS</t>
  </si>
  <si>
    <t>Oviedo Gutiérrez Adrian</t>
  </si>
  <si>
    <t>A00231423003977</t>
  </si>
  <si>
    <t>A S S FRAN 2 RIOS</t>
  </si>
  <si>
    <t>Bolaños Cortes Ana Victoria</t>
  </si>
  <si>
    <t>22/02/20232</t>
  </si>
  <si>
    <t>6354155 Z</t>
  </si>
  <si>
    <t>Porras Monge M del Carmen</t>
  </si>
  <si>
    <t>6354154 Z</t>
  </si>
  <si>
    <t>16/02/20232</t>
  </si>
  <si>
    <t>Matarrita Saborío Marcela</t>
  </si>
  <si>
    <t>6354158 Z</t>
  </si>
  <si>
    <t>A00221722043989</t>
  </si>
  <si>
    <t>6354159 Z</t>
  </si>
  <si>
    <t>Puertas González Kimberly</t>
  </si>
  <si>
    <t>A00231522019193</t>
  </si>
  <si>
    <t>Á de Salud de Zapote</t>
  </si>
  <si>
    <t>Chavarría Camacho Maureen</t>
  </si>
  <si>
    <t>A00231423005149</t>
  </si>
  <si>
    <t xml:space="preserve"> suspendida por Licencia </t>
  </si>
  <si>
    <t>Arguedas Salazar Laura</t>
  </si>
  <si>
    <t>6354161 Z</t>
  </si>
  <si>
    <t>6354160 Z</t>
  </si>
  <si>
    <t>6354163 Z</t>
  </si>
  <si>
    <t>Rivera Coto Sergio</t>
  </si>
  <si>
    <t>A00231123002835</t>
  </si>
  <si>
    <t>Á SALUD MATA REDONDA</t>
  </si>
  <si>
    <t>Chinchilla Badilla Maripaz</t>
  </si>
  <si>
    <t>Á S EL GUARCO</t>
  </si>
  <si>
    <t>A00239223003518</t>
  </si>
  <si>
    <t>Araica Acuña Cintia</t>
  </si>
  <si>
    <t>A23122223000042</t>
  </si>
  <si>
    <t>A22150323000131</t>
  </si>
  <si>
    <t>EBAIS EL MORAL</t>
  </si>
  <si>
    <t>EBAIS HATILLO 7</t>
  </si>
  <si>
    <t>6354166 Z</t>
  </si>
  <si>
    <t>Abarca Abarca Mónica</t>
  </si>
  <si>
    <t>6354167 Z</t>
  </si>
  <si>
    <t>Lindo Marín María Cecilia</t>
  </si>
  <si>
    <t>A00210123007810</t>
  </si>
  <si>
    <t>Chaves Vega Marisol</t>
  </si>
  <si>
    <t>6354168 Z</t>
  </si>
  <si>
    <t>6354169 Z</t>
  </si>
  <si>
    <t>Romero Castillo Rodolfo</t>
  </si>
  <si>
    <t>6354171 Z</t>
  </si>
  <si>
    <t>A22740223000082</t>
  </si>
  <si>
    <t>EBAIS LOS LAGOS 1</t>
  </si>
  <si>
    <t>González oviedo Juan Luis</t>
  </si>
  <si>
    <t>A00221023008787</t>
  </si>
  <si>
    <t>A S Carmen de M de Oca</t>
  </si>
  <si>
    <t>Pérez Barrantes Liria</t>
  </si>
  <si>
    <t>A00210123008401</t>
  </si>
  <si>
    <t>A00210123008370</t>
  </si>
  <si>
    <t>Ramírez Castillo José Pablo</t>
  </si>
  <si>
    <t>6354172 Z</t>
  </si>
  <si>
    <t xml:space="preserve">AGRC </t>
  </si>
  <si>
    <t>6354174 Z</t>
  </si>
  <si>
    <t>Sánchez Garro Merilyn</t>
  </si>
  <si>
    <t>6354175 Z</t>
  </si>
  <si>
    <t>6409102 Z</t>
  </si>
  <si>
    <t>Alpízar Hidalgo Catalina</t>
  </si>
  <si>
    <t>Avila Morales Ofelia</t>
  </si>
  <si>
    <t>A00221623015702</t>
  </si>
  <si>
    <t>Badilla Ureña Ariana</t>
  </si>
  <si>
    <t>6409103 Z</t>
  </si>
  <si>
    <t>Landaverde Recinos Melanie</t>
  </si>
  <si>
    <t>A00227423003280</t>
  </si>
  <si>
    <t>Area de S Heredia Virilla</t>
  </si>
  <si>
    <t>Bravo Segura Oscar</t>
  </si>
  <si>
    <t>A00220523008448</t>
  </si>
  <si>
    <t>HSR ALAJUELA</t>
  </si>
  <si>
    <t>Guardiola Leiva Marianella</t>
  </si>
  <si>
    <t>6409104 Z</t>
  </si>
  <si>
    <t>6409106 Z</t>
  </si>
  <si>
    <t>Ramirez Sequeira Xinia</t>
  </si>
  <si>
    <t xml:space="preserve">6409105 Z </t>
  </si>
  <si>
    <t>Torres León María de Rocío</t>
  </si>
  <si>
    <t>Sanchez Vargas Karla</t>
  </si>
  <si>
    <t xml:space="preserve">6409108 Z </t>
  </si>
  <si>
    <t>A00234223008282</t>
  </si>
  <si>
    <t>Á DE SALUD DE CARTAGO</t>
  </si>
  <si>
    <t>A23921323000171</t>
  </si>
  <si>
    <t>EBAIS  LA CAMPIÑA</t>
  </si>
  <si>
    <t>6409110 Z</t>
  </si>
  <si>
    <t>6409109 Z</t>
  </si>
  <si>
    <t>6409111 Z</t>
  </si>
  <si>
    <t>3200206 Z</t>
  </si>
  <si>
    <t>Incap suspendida AGRC</t>
  </si>
  <si>
    <t>A00221023011942</t>
  </si>
  <si>
    <t>Quesada Núñez Marvin</t>
  </si>
  <si>
    <t>2023A00921</t>
  </si>
  <si>
    <t>A00220523011160</t>
  </si>
  <si>
    <t>A23122223000087</t>
  </si>
  <si>
    <t>Ebais Hatillo</t>
  </si>
  <si>
    <t>A00231223010767</t>
  </si>
  <si>
    <t>ÁREA DE SALUD DE HATILLO</t>
  </si>
  <si>
    <t>6409112 Z</t>
  </si>
  <si>
    <t>6409113 Z</t>
  </si>
  <si>
    <t>Porras Valverde Michael</t>
  </si>
  <si>
    <t>6409114 Z</t>
  </si>
  <si>
    <t>A23180823000208</t>
  </si>
  <si>
    <t>NO INDICA</t>
  </si>
  <si>
    <t>Piedra Marín Ruth</t>
  </si>
  <si>
    <t>A00223323006944</t>
  </si>
  <si>
    <t>ÁREA DE BELEN-FLORES</t>
  </si>
  <si>
    <t>Calvo Tosi  Patricia</t>
  </si>
  <si>
    <t>Calvo Tosi Patricia</t>
  </si>
  <si>
    <t>Granados Marín Daniela</t>
  </si>
  <si>
    <t>6409115 Z</t>
  </si>
  <si>
    <t>2023D008119</t>
  </si>
  <si>
    <t>Brenes Rojas Andrea</t>
  </si>
  <si>
    <t>A00210123013081</t>
  </si>
  <si>
    <t>Granados Chaves Nuria</t>
  </si>
  <si>
    <t>6409116Z</t>
  </si>
  <si>
    <t>6409117 Z</t>
  </si>
  <si>
    <t>Trejos Álvarez Marisol</t>
  </si>
  <si>
    <t>6409118 Z</t>
  </si>
  <si>
    <t>Segura Sánchez Guiselle</t>
  </si>
  <si>
    <t>6409120 Z</t>
  </si>
  <si>
    <t>Castro Navarro Annia</t>
  </si>
  <si>
    <t>A00234223011319</t>
  </si>
  <si>
    <t>Á S CARTAGO</t>
  </si>
  <si>
    <t>A00231823000633</t>
  </si>
  <si>
    <t>PRIVADO</t>
  </si>
  <si>
    <t>6409119 Z</t>
  </si>
  <si>
    <t>6409122 Z</t>
  </si>
  <si>
    <t>Sancho Arce José Eduardo</t>
  </si>
  <si>
    <t>6409121 Z</t>
  </si>
  <si>
    <t>A00231423012433</t>
  </si>
  <si>
    <t>Área de Salud de Zapote</t>
  </si>
  <si>
    <t>Rodríguez Castrillo A Grettel</t>
  </si>
  <si>
    <t>6401044 Z</t>
  </si>
  <si>
    <t>López Carrillo</t>
  </si>
  <si>
    <t>6263452 Z</t>
  </si>
  <si>
    <t>6263451 Z</t>
  </si>
  <si>
    <t>Salinas Gómes Luis</t>
  </si>
  <si>
    <t>2023G003403</t>
  </si>
  <si>
    <t>Zambrano Madriga</t>
  </si>
  <si>
    <t>6263453 Z</t>
  </si>
  <si>
    <t>A S Carmen-Mont de Oca</t>
  </si>
  <si>
    <t>López Rojas José</t>
  </si>
  <si>
    <t>6263454 Z</t>
  </si>
  <si>
    <t>6263455 Z</t>
  </si>
  <si>
    <t>6263456 Z</t>
  </si>
  <si>
    <t>Corrales Ramírez María José</t>
  </si>
  <si>
    <t>6263457 Z</t>
  </si>
  <si>
    <t>A00234223013126</t>
  </si>
  <si>
    <t>A</t>
  </si>
  <si>
    <t>A00221023015884</t>
  </si>
  <si>
    <t>Á S C Montes de Oca</t>
  </si>
  <si>
    <t>A00221023016495</t>
  </si>
  <si>
    <t>Olivarez Ferreto Paula</t>
  </si>
  <si>
    <t>A22110223000083</t>
  </si>
  <si>
    <t>A S Goicohechea</t>
  </si>
  <si>
    <t>A00221023017340</t>
  </si>
  <si>
    <t>6263460 Z</t>
  </si>
  <si>
    <t>A00231823000853</t>
  </si>
  <si>
    <t>Á S S FRCO S ANTONIO</t>
  </si>
  <si>
    <t>Torres León María del Rocío</t>
  </si>
  <si>
    <t>A23170823000274</t>
  </si>
  <si>
    <t>Area de Salud Desamp</t>
  </si>
  <si>
    <t>A00223323007671</t>
  </si>
  <si>
    <t>Á S Belén Flores</t>
  </si>
  <si>
    <t>A00223323008288</t>
  </si>
  <si>
    <t>Vargas López Alexandra</t>
  </si>
  <si>
    <t>A23450123000907</t>
  </si>
  <si>
    <t>Ebais San Miguel 1</t>
  </si>
  <si>
    <t>Núñez Martínez Alexandra</t>
  </si>
  <si>
    <t>5054209 Z</t>
  </si>
  <si>
    <t>Á  Salud GRECIA</t>
  </si>
  <si>
    <t xml:space="preserve">Salinas Gómez Luis </t>
  </si>
  <si>
    <t xml:space="preserve">6263464 Z </t>
  </si>
  <si>
    <t>Zambrano Madrigal Arnoldo</t>
  </si>
  <si>
    <t>6263463 Z</t>
  </si>
  <si>
    <t>Peña Mora Jacqueline</t>
  </si>
  <si>
    <t>6263462 Z</t>
  </si>
  <si>
    <t>Quesada Gómez Carmen</t>
  </si>
  <si>
    <t>6263466 Z</t>
  </si>
  <si>
    <t>6263465 Z</t>
  </si>
  <si>
    <t>Bolaños Cortes Ana V</t>
  </si>
  <si>
    <t>González Oviedo Juan Luis</t>
  </si>
  <si>
    <t>6263468 Z</t>
  </si>
  <si>
    <t>Luna Ramírez Melissa</t>
  </si>
  <si>
    <t>6263469 Z</t>
  </si>
  <si>
    <t>A00221723029845</t>
  </si>
  <si>
    <t>A S CORONADO</t>
  </si>
  <si>
    <t>6263470 Z</t>
  </si>
  <si>
    <t>6409125 Z</t>
  </si>
  <si>
    <t>Segura Meseén Caleb</t>
  </si>
  <si>
    <t>A00221723030392</t>
  </si>
  <si>
    <t>6263472 Z</t>
  </si>
  <si>
    <t>6263467 Z</t>
  </si>
  <si>
    <t>Casal Arias Alicia</t>
  </si>
  <si>
    <t>6263474 Z</t>
  </si>
  <si>
    <t>Lopez Rojas José</t>
  </si>
  <si>
    <t>6263473 Z</t>
  </si>
  <si>
    <t>Bolaños Cortes Victoria</t>
  </si>
  <si>
    <t>A00221723031522</t>
  </si>
  <si>
    <t>A00221723031877</t>
  </si>
  <si>
    <t>13/072023</t>
  </si>
  <si>
    <t>A22772023000471</t>
  </si>
  <si>
    <t>Á S D N de la Garita</t>
  </si>
  <si>
    <t>Hernández Víquez Priscilla</t>
  </si>
  <si>
    <t>6263475 Z</t>
  </si>
  <si>
    <t>Á S S FCO S ANTONIO</t>
  </si>
  <si>
    <t>6409124 Z</t>
  </si>
  <si>
    <t>Medinilla Álvarez Karen</t>
  </si>
  <si>
    <t>A22811923000379</t>
  </si>
  <si>
    <t>Ebais Montecillos 2</t>
  </si>
  <si>
    <t>Mata Tames Andrea</t>
  </si>
  <si>
    <t>A00239223010672</t>
  </si>
  <si>
    <t>Á S El Guarco</t>
  </si>
  <si>
    <t>6437451 Z</t>
  </si>
  <si>
    <t>Subsidio Pagado</t>
  </si>
  <si>
    <t>Ahorro  salario no pagado</t>
  </si>
  <si>
    <t>Rodríguez Castrillo Ana G</t>
  </si>
  <si>
    <t>6236317 Z</t>
  </si>
  <si>
    <t>Médico de Emprersa</t>
  </si>
  <si>
    <t>A00210123021487</t>
  </si>
  <si>
    <t>BadillaUreña Ariana</t>
  </si>
  <si>
    <t>6437452 Z</t>
  </si>
  <si>
    <t>6437453 Z</t>
  </si>
  <si>
    <t>6437454 Z</t>
  </si>
  <si>
    <t>Ruiz Altamirano Irene</t>
  </si>
  <si>
    <t>6437455 Z</t>
  </si>
  <si>
    <t>6437456 Z</t>
  </si>
  <si>
    <t>A23580923000145</t>
  </si>
  <si>
    <t>a22161723000302</t>
  </si>
  <si>
    <t>A00221123026764</t>
  </si>
  <si>
    <t>ÁREA S GOICOHECHEA</t>
  </si>
  <si>
    <t>Segura Rojas Carlos</t>
  </si>
  <si>
    <t>A22772023000530</t>
  </si>
  <si>
    <t>E DULCE N LA GARITA</t>
  </si>
  <si>
    <t>6437460 Z</t>
  </si>
  <si>
    <t>6437461 Z</t>
  </si>
  <si>
    <t xml:space="preserve"> AGRC</t>
  </si>
  <si>
    <t>Verónica Alvarado Montoya</t>
  </si>
  <si>
    <t>A22310523000509</t>
  </si>
  <si>
    <t>Ebais  Santo  Tomás</t>
  </si>
  <si>
    <t>maternidad</t>
  </si>
  <si>
    <t>6437463 Z</t>
  </si>
  <si>
    <t>6437462 Z</t>
  </si>
  <si>
    <t>A00221423035467</t>
  </si>
  <si>
    <t>CCSS</t>
  </si>
  <si>
    <t>Calvo Tosi Ana Patricia</t>
  </si>
  <si>
    <t>6437464 Z</t>
  </si>
  <si>
    <t>A22161723000391</t>
  </si>
  <si>
    <t>Ebais Canoas</t>
  </si>
  <si>
    <t>Rojas Soto Marco</t>
  </si>
  <si>
    <t>6437465 Z</t>
  </si>
  <si>
    <t>A00231423021026</t>
  </si>
  <si>
    <t>A S ZAPOTE</t>
  </si>
  <si>
    <t>6437466 Z</t>
  </si>
  <si>
    <t>A00233323009385</t>
  </si>
  <si>
    <t>Á S La Unión</t>
  </si>
  <si>
    <t>Chavarria Arronis Roberto</t>
  </si>
  <si>
    <t>6437467 Z</t>
  </si>
  <si>
    <t>Robles Robles Bernal</t>
  </si>
  <si>
    <t>5618167 Z</t>
  </si>
  <si>
    <t>M DE EMPRESA</t>
  </si>
  <si>
    <t>6437470 Z</t>
  </si>
  <si>
    <t>6437468 Z</t>
  </si>
  <si>
    <t>6437469 Z</t>
  </si>
  <si>
    <t>Barrantes Monge Alejandra</t>
  </si>
  <si>
    <t>A2312213000215</t>
  </si>
  <si>
    <t>A00231423021890</t>
  </si>
  <si>
    <t>Hidalgo Solano Tannia</t>
  </si>
  <si>
    <t>6437472 Z</t>
  </si>
  <si>
    <t>A00210123025476</t>
  </si>
  <si>
    <t>Tapia Gutiérrez Maricela</t>
  </si>
  <si>
    <t>6437473 Z</t>
  </si>
  <si>
    <t>Prez Barrantes Liria</t>
  </si>
  <si>
    <t>A00231423023334</t>
  </si>
  <si>
    <t>Mendoza Vado Lisseth</t>
  </si>
  <si>
    <t>6435826 Z</t>
  </si>
  <si>
    <t>A22161123001054</t>
  </si>
  <si>
    <t>A22150523000318</t>
  </si>
  <si>
    <t>6435829 Z</t>
  </si>
  <si>
    <t>EBAIS JARDINES</t>
  </si>
  <si>
    <t>Piedra Navarro Grettel</t>
  </si>
  <si>
    <t>6435830 Z</t>
  </si>
  <si>
    <t>Flores Gómez Yamileth</t>
  </si>
  <si>
    <t>6435831 Z</t>
  </si>
  <si>
    <t>A00210123028563</t>
  </si>
  <si>
    <t>6435832 Z</t>
  </si>
  <si>
    <t>A22160723000842</t>
  </si>
  <si>
    <t>Ebais Desampa B</t>
  </si>
  <si>
    <t>6435834 Z</t>
  </si>
  <si>
    <t>6435833 Z</t>
  </si>
  <si>
    <t>6435836 Z</t>
  </si>
  <si>
    <t>Leiva Cerdas Ligia</t>
  </si>
  <si>
    <t>19/20/2023</t>
  </si>
  <si>
    <t>6435835 Z</t>
  </si>
  <si>
    <t>A22161123001259</t>
  </si>
  <si>
    <t>EBAIS ESTADIO</t>
  </si>
  <si>
    <t>A22170523000720</t>
  </si>
  <si>
    <t>EBAIS SAN PEDRO</t>
  </si>
  <si>
    <t>Alvarado Montoya Verónica</t>
  </si>
  <si>
    <t>Fonseca Sandoval Edith</t>
  </si>
  <si>
    <t>6435839 Z</t>
  </si>
  <si>
    <t>64358368 Z</t>
  </si>
  <si>
    <t>Navarro Álvarez Maricela</t>
  </si>
  <si>
    <t>A00221123037249</t>
  </si>
  <si>
    <t>ÁREA S GOICOECHEA 2</t>
  </si>
  <si>
    <t>A22160723000936</t>
  </si>
  <si>
    <t>E Desamparados B</t>
  </si>
  <si>
    <t>A23580923000199</t>
  </si>
  <si>
    <t>A23581123000316</t>
  </si>
  <si>
    <t>Ebais San Diego</t>
  </si>
  <si>
    <t>6435841 Z</t>
  </si>
  <si>
    <t>Sánchez Garita Jeran Carlo</t>
  </si>
  <si>
    <t>64358740 Z</t>
  </si>
  <si>
    <t>6435842 Z</t>
  </si>
  <si>
    <t>6435844 Z</t>
  </si>
  <si>
    <t>Castro Hidalgo Pamela</t>
  </si>
  <si>
    <t>6254108 Z</t>
  </si>
  <si>
    <t>MÉDICO DE EMPRESA</t>
  </si>
  <si>
    <t>6435846 Z</t>
  </si>
  <si>
    <t>6435848 Z</t>
  </si>
  <si>
    <t>A00231423026721</t>
  </si>
  <si>
    <t>A00231423026941</t>
  </si>
  <si>
    <t>A00231423027365</t>
  </si>
  <si>
    <t>Á S Zapote-Central</t>
  </si>
  <si>
    <t>6435850 Z</t>
  </si>
  <si>
    <t>6435849 Z</t>
  </si>
  <si>
    <t>García Villalobos Yazmín</t>
  </si>
  <si>
    <t>6198326 Z</t>
  </si>
  <si>
    <t>6198329 Z</t>
  </si>
  <si>
    <t>Robles González Andreina</t>
  </si>
  <si>
    <t>6198328 Z</t>
  </si>
  <si>
    <t>6198327 Z</t>
  </si>
  <si>
    <t>6198330 Z</t>
  </si>
  <si>
    <t>Rangel contreras Cristina</t>
  </si>
  <si>
    <t>A23180323000347</t>
  </si>
  <si>
    <t>Ebais Fátima</t>
  </si>
  <si>
    <t>A00221623053786</t>
  </si>
  <si>
    <t>A22161123001545</t>
  </si>
  <si>
    <t>Ebais Estadio</t>
  </si>
  <si>
    <t>Alvarado Madríz Martín</t>
  </si>
  <si>
    <t>A00210223036870</t>
  </si>
  <si>
    <t>H S J de DIOS</t>
  </si>
  <si>
    <t>Alvarado Alvarado Cesar</t>
  </si>
  <si>
    <t>6198334 Z</t>
  </si>
  <si>
    <t>6198331 Z</t>
  </si>
  <si>
    <t>Román Fuentes Irene</t>
  </si>
  <si>
    <t>30/11/20213</t>
  </si>
  <si>
    <t>2023G007699</t>
  </si>
  <si>
    <t>González Maltez Bismacrk</t>
  </si>
  <si>
    <t>6198335 Z</t>
  </si>
  <si>
    <t>Sánchez Garita Jean Carlo</t>
  </si>
  <si>
    <t>A00220823035122</t>
  </si>
  <si>
    <t>H S V de Paul</t>
  </si>
  <si>
    <t>A00231523034282</t>
  </si>
  <si>
    <t>Á S DESAMPARADOS 1</t>
  </si>
  <si>
    <t>Soto Arias Cristian</t>
  </si>
  <si>
    <t>6198336 Z</t>
  </si>
  <si>
    <t>a00220823035788</t>
  </si>
  <si>
    <t>A22160923000855</t>
  </si>
  <si>
    <t>Ebais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</si>
</sst>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[Red]#,##0.00"/>
    <numFmt numFmtId="165" formatCode="dd/mm/yy;@"/>
    <numFmt numFmtId="166" formatCode="0;[Red]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7">
    <xf numFmtId="0" fontId="0" fillId="0" borderId="0" xfId="0"/>
    <xf numFmtId="15" fontId="0" fillId="2" borderId="1" xfId="0" applyNumberFormat="1" applyFill="1" applyBorder="1" applyAlignment="1">
      <alignment horizontal="left"/>
    </xf>
    <xf numFmtId="165" fontId="0" fillId="2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9" fontId="1" fillId="0" borderId="1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7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1" fillId="0" borderId="7" xfId="0" applyFont="1" applyBorder="1" applyAlignment="1">
      <alignment horizontal="right"/>
    </xf>
    <xf numFmtId="15" fontId="1" fillId="2" borderId="7" xfId="0" applyNumberFormat="1" applyFont="1" applyFill="1" applyBorder="1" applyAlignment="1">
      <alignment horizontal="right"/>
    </xf>
    <xf numFmtId="15" fontId="1" fillId="2" borderId="10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165" fontId="0" fillId="2" borderId="7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0" fillId="0" borderId="0" xfId="0" applyNumberFormat="1"/>
    <xf numFmtId="4" fontId="0" fillId="0" borderId="0" xfId="0" applyNumberFormat="1"/>
    <xf numFmtId="2" fontId="0" fillId="0" borderId="0" xfId="1" applyNumberFormat="1" applyFont="1" applyAlignment="1"/>
    <xf numFmtId="2" fontId="0" fillId="0" borderId="0" xfId="1" applyNumberFormat="1" applyFont="1" applyBorder="1" applyAlignme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2" borderId="8" xfId="0" applyNumberFormat="1" applyFont="1" applyFill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166" fontId="1" fillId="2" borderId="5" xfId="0" applyNumberFormat="1" applyFont="1" applyFill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15" fontId="0" fillId="3" borderId="1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4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4" fontId="0" fillId="0" borderId="1" xfId="0" applyNumberFormat="1" applyBorder="1"/>
    <xf numFmtId="4" fontId="0" fillId="0" borderId="3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7" fillId="0" borderId="0" xfId="0" applyFont="1" applyAlignment="1">
      <alignment horizontal="center"/>
    </xf>
    <xf numFmtId="4" fontId="7" fillId="7" borderId="0" xfId="0" applyNumberFormat="1" applyFont="1" applyFill="1" applyAlignment="1">
      <alignment horizontal="center"/>
    </xf>
    <xf numFmtId="4" fontId="6" fillId="8" borderId="0" xfId="0" applyNumberFormat="1" applyFont="1" applyFill="1" applyAlignment="1">
      <alignment horizontal="center"/>
    </xf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2" fontId="0" fillId="0" borderId="1" xfId="1" applyNumberFormat="1" applyFont="1" applyBorder="1" applyAlignment="1"/>
    <xf numFmtId="4" fontId="6" fillId="0" borderId="1" xfId="0" applyNumberFormat="1" applyFont="1" applyBorder="1"/>
    <xf numFmtId="4" fontId="8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15" fontId="0" fillId="0" borderId="1" xfId="0" applyNumberFormat="1" applyBorder="1" applyAlignment="1">
      <alignment horizontal="left"/>
    </xf>
    <xf numFmtId="15" fontId="0" fillId="0" borderId="0" xfId="0" applyNumberFormat="1" applyAlignment="1">
      <alignment horizontal="left"/>
    </xf>
    <xf numFmtId="15" fontId="0" fillId="2" borderId="16" xfId="0" applyNumberFormat="1" applyFill="1" applyBorder="1" applyAlignment="1">
      <alignment horizontal="left"/>
    </xf>
    <xf numFmtId="0" fontId="0" fillId="0" borderId="16" xfId="0" applyBorder="1" applyAlignment="1">
      <alignment horizontal="left"/>
    </xf>
    <xf numFmtId="4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center"/>
    </xf>
    <xf numFmtId="4" fontId="0" fillId="0" borderId="16" xfId="0" applyNumberFormat="1" applyBorder="1"/>
    <xf numFmtId="14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15" fontId="0" fillId="2" borderId="3" xfId="0" applyNumberFormat="1" applyFill="1" applyBorder="1" applyAlignment="1">
      <alignment horizontal="left"/>
    </xf>
    <xf numFmtId="15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2" fontId="0" fillId="0" borderId="0" xfId="1" applyNumberFormat="1" applyFont="1" applyFill="1" applyAlignment="1">
      <alignment wrapText="1"/>
    </xf>
    <xf numFmtId="4" fontId="0" fillId="0" borderId="16" xfId="0" applyNumberFormat="1" applyBorder="1" applyAlignment="1">
      <alignment horizontal="left"/>
    </xf>
    <xf numFmtId="15" fontId="0" fillId="0" borderId="16" xfId="0" applyNumberFormat="1" applyBorder="1" applyAlignment="1">
      <alignment horizontal="left"/>
    </xf>
    <xf numFmtId="15" fontId="0" fillId="0" borderId="17" xfId="0" applyNumberFormat="1" applyBorder="1" applyAlignment="1">
      <alignment horizontal="left"/>
    </xf>
    <xf numFmtId="14" fontId="0" fillId="0" borderId="3" xfId="0" applyNumberForma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7"/>
  <sheetViews>
    <sheetView tabSelected="1" zoomScale="91" zoomScaleNormal="91" workbookViewId="0">
      <pane ySplit="1" topLeftCell="A343" activePane="bottomLeft" state="frozen"/>
      <selection pane="bottomLeft" activeCell="I359" sqref="I359"/>
    </sheetView>
  </sheetViews>
  <sheetFormatPr baseColWidth="10" defaultRowHeight="14.5" x14ac:dyDescent="0.35"/>
  <cols>
    <col min="1" max="1" width="10.6328125" customWidth="1"/>
    <col min="2" max="2" width="25.26953125" style="23" customWidth="1"/>
    <col min="3" max="3" width="13" style="3" customWidth="1"/>
    <col min="4" max="4" width="12.1796875" style="3" customWidth="1"/>
    <col min="5" max="5" width="11" style="3" customWidth="1"/>
    <col min="6" max="6" width="14" style="3" customWidth="1"/>
    <col min="7" max="7" width="12" style="36" customWidth="1"/>
    <col min="8" max="8" width="14.1796875" style="32" customWidth="1"/>
    <col min="9" max="9" width="16.26953125" customWidth="1"/>
    <col min="10" max="10" width="12.54296875" style="3" customWidth="1"/>
    <col min="11" max="11" width="11.54296875" style="3" customWidth="1"/>
    <col min="12" max="12" width="17.7265625" style="3" customWidth="1"/>
    <col min="13" max="13" width="20" style="3" customWidth="1"/>
  </cols>
  <sheetData>
    <row r="1" spans="1:13" ht="29" x14ac:dyDescent="0.35">
      <c r="A1" t="s">
        <v>0</v>
      </c>
      <c r="B1" s="2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4" t="s">
        <v>6</v>
      </c>
      <c r="H1" s="82" t="s">
        <v>287</v>
      </c>
      <c r="I1" s="30" t="s">
        <v>286</v>
      </c>
      <c r="J1" s="2" t="s">
        <v>7</v>
      </c>
      <c r="K1" s="2" t="s">
        <v>8</v>
      </c>
      <c r="L1" s="3" t="s">
        <v>9</v>
      </c>
      <c r="M1" s="3" t="s">
        <v>10</v>
      </c>
    </row>
    <row r="2" spans="1:13" x14ac:dyDescent="0.35">
      <c r="A2" s="1">
        <v>44927</v>
      </c>
      <c r="B2" s="43" t="s">
        <v>30</v>
      </c>
      <c r="C2" s="44">
        <v>1617660</v>
      </c>
      <c r="D2" s="44">
        <f t="shared" ref="D2" si="0">C2/2</f>
        <v>808830</v>
      </c>
      <c r="E2" s="44">
        <f t="shared" ref="E2" si="1">C2/30</f>
        <v>53922</v>
      </c>
      <c r="F2" s="44">
        <v>0</v>
      </c>
      <c r="G2" s="35">
        <v>15</v>
      </c>
      <c r="H2" s="44">
        <f>C2/30*15*0.6</f>
        <v>485298</v>
      </c>
      <c r="I2" s="44">
        <f>C2/30*15*0.4</f>
        <v>323532</v>
      </c>
      <c r="J2" s="12">
        <v>44914</v>
      </c>
      <c r="K2" s="12">
        <v>44577</v>
      </c>
      <c r="L2" s="5" t="s">
        <v>31</v>
      </c>
      <c r="M2" s="5" t="s">
        <v>29</v>
      </c>
    </row>
    <row r="3" spans="1:13" x14ac:dyDescent="0.35">
      <c r="A3" s="1"/>
      <c r="C3" s="13"/>
      <c r="D3" s="13"/>
      <c r="E3" s="13"/>
      <c r="F3" s="13"/>
      <c r="H3" s="44">
        <f>SUM(H2:H2)</f>
        <v>485298</v>
      </c>
      <c r="I3" s="53">
        <f>I2</f>
        <v>323532</v>
      </c>
      <c r="J3" s="14"/>
    </row>
    <row r="4" spans="1:13" x14ac:dyDescent="0.35">
      <c r="A4" s="1"/>
      <c r="B4" s="57" t="s">
        <v>62</v>
      </c>
      <c r="C4" s="13"/>
      <c r="D4" s="13"/>
      <c r="E4" s="13"/>
      <c r="F4" s="13"/>
      <c r="H4" s="44">
        <v>0</v>
      </c>
      <c r="I4" s="53">
        <v>25000000</v>
      </c>
      <c r="J4" s="14"/>
    </row>
    <row r="5" spans="1:13" x14ac:dyDescent="0.35">
      <c r="A5" s="1"/>
      <c r="B5" s="58" t="s">
        <v>50</v>
      </c>
      <c r="C5" s="13"/>
      <c r="D5" s="13"/>
      <c r="E5" s="13"/>
      <c r="F5" s="13"/>
      <c r="H5" s="44">
        <v>0</v>
      </c>
      <c r="I5" s="66">
        <f>I4-I3</f>
        <v>24676468</v>
      </c>
      <c r="J5" s="14"/>
    </row>
    <row r="6" spans="1:13" x14ac:dyDescent="0.35">
      <c r="A6" s="1"/>
      <c r="B6" s="59" t="s">
        <v>37</v>
      </c>
      <c r="C6" s="13"/>
      <c r="D6" s="13"/>
      <c r="E6" s="13"/>
      <c r="F6" s="13"/>
      <c r="H6" s="68">
        <f>SUM(H3:H4)</f>
        <v>485298</v>
      </c>
      <c r="I6" s="53">
        <f>I3</f>
        <v>323532</v>
      </c>
      <c r="J6" s="14"/>
    </row>
    <row r="7" spans="1:13" s="52" customFormat="1" x14ac:dyDescent="0.35">
      <c r="A7" s="45"/>
      <c r="B7" s="46"/>
      <c r="C7" s="47"/>
      <c r="D7" s="47"/>
      <c r="E7" s="47"/>
      <c r="F7" s="47"/>
      <c r="G7" s="48"/>
      <c r="H7" s="47"/>
      <c r="I7" s="49"/>
      <c r="J7" s="50"/>
      <c r="K7" s="51"/>
      <c r="L7" s="51"/>
      <c r="M7" s="51"/>
    </row>
    <row r="8" spans="1:13" x14ac:dyDescent="0.35">
      <c r="A8" s="1"/>
      <c r="C8" s="13"/>
      <c r="D8" s="13"/>
      <c r="E8" s="13"/>
      <c r="F8" s="13"/>
      <c r="H8" s="33"/>
      <c r="I8" s="31"/>
      <c r="J8" s="14"/>
    </row>
    <row r="9" spans="1:13" x14ac:dyDescent="0.35">
      <c r="A9" s="1">
        <v>44928</v>
      </c>
      <c r="B9" s="43" t="s">
        <v>41</v>
      </c>
      <c r="C9" s="44">
        <v>443867</v>
      </c>
      <c r="D9" s="44">
        <f>C9/2</f>
        <v>221933.5</v>
      </c>
      <c r="E9" s="44">
        <f>C9/30</f>
        <v>14795.566666666668</v>
      </c>
      <c r="F9" s="44">
        <f>E9*13</f>
        <v>192342.36666666667</v>
      </c>
      <c r="G9" s="35">
        <v>2</v>
      </c>
      <c r="H9" s="44">
        <f>C9/30*2*0.2</f>
        <v>5918.2266666666674</v>
      </c>
      <c r="I9" s="44">
        <f>C9/30*2*0.8</f>
        <v>23672.906666666669</v>
      </c>
      <c r="J9" s="12">
        <v>44942</v>
      </c>
      <c r="K9" s="12">
        <v>44943</v>
      </c>
      <c r="L9" s="5" t="s">
        <v>43</v>
      </c>
      <c r="M9" s="5" t="s">
        <v>34</v>
      </c>
    </row>
    <row r="10" spans="1:13" x14ac:dyDescent="0.35">
      <c r="A10" s="1">
        <v>44928</v>
      </c>
      <c r="B10" s="43" t="s">
        <v>42</v>
      </c>
      <c r="C10" s="44"/>
      <c r="D10" s="44"/>
      <c r="E10" s="44"/>
      <c r="F10" s="44"/>
      <c r="G10" s="35">
        <v>3</v>
      </c>
      <c r="H10" s="44">
        <v>0</v>
      </c>
      <c r="I10" s="44">
        <v>0</v>
      </c>
      <c r="J10" s="12" t="s">
        <v>45</v>
      </c>
      <c r="K10" s="12">
        <v>44940</v>
      </c>
      <c r="L10" s="5" t="s">
        <v>46</v>
      </c>
      <c r="M10" s="5" t="s">
        <v>47</v>
      </c>
    </row>
    <row r="11" spans="1:13" x14ac:dyDescent="0.35">
      <c r="A11" s="1">
        <v>44928</v>
      </c>
      <c r="B11" s="43" t="s">
        <v>42</v>
      </c>
      <c r="C11" s="44">
        <v>307504</v>
      </c>
      <c r="D11" s="44">
        <f>C11/2</f>
        <v>153752</v>
      </c>
      <c r="E11" s="44">
        <f>C11/30</f>
        <v>10250.133333333333</v>
      </c>
      <c r="F11" s="44">
        <f>E11*10</f>
        <v>102501.33333333333</v>
      </c>
      <c r="G11" s="35">
        <v>2</v>
      </c>
      <c r="H11" s="44">
        <f>C11/30*3*0.2+C11/30*2*0.8</f>
        <v>22550.293333333335</v>
      </c>
      <c r="I11" s="44">
        <f>C11/30*3*0.8+C11/30*2*0.2</f>
        <v>28700.373333333337</v>
      </c>
      <c r="J11" s="12">
        <v>44943</v>
      </c>
      <c r="K11" s="12">
        <v>44944</v>
      </c>
      <c r="L11" s="5" t="s">
        <v>44</v>
      </c>
      <c r="M11" s="5" t="s">
        <v>34</v>
      </c>
    </row>
    <row r="12" spans="1:13" x14ac:dyDescent="0.35">
      <c r="A12" s="1">
        <v>44928</v>
      </c>
      <c r="B12" s="43" t="s">
        <v>30</v>
      </c>
      <c r="C12" s="44">
        <v>1617660</v>
      </c>
      <c r="D12" s="44">
        <f t="shared" ref="D12" si="2">C12/2</f>
        <v>808830</v>
      </c>
      <c r="E12" s="44">
        <f t="shared" ref="E12" si="3">C12/30</f>
        <v>53922</v>
      </c>
      <c r="F12" s="44">
        <v>0</v>
      </c>
      <c r="G12" s="35">
        <v>15</v>
      </c>
      <c r="H12" s="44">
        <f>C12/30*15*0.6</f>
        <v>485298</v>
      </c>
      <c r="I12" s="44">
        <f>C12/30*15*0.4</f>
        <v>323532</v>
      </c>
      <c r="J12" s="12">
        <v>44914</v>
      </c>
      <c r="K12" s="12">
        <v>44942</v>
      </c>
      <c r="L12" s="5" t="s">
        <v>31</v>
      </c>
      <c r="M12" s="5" t="s">
        <v>29</v>
      </c>
    </row>
    <row r="13" spans="1:13" x14ac:dyDescent="0.35">
      <c r="A13" s="1">
        <v>44928</v>
      </c>
      <c r="B13" s="43" t="s">
        <v>32</v>
      </c>
      <c r="C13" s="44"/>
      <c r="D13" s="44"/>
      <c r="E13" s="44"/>
      <c r="F13" s="44"/>
      <c r="G13" s="35">
        <v>2</v>
      </c>
      <c r="H13" s="44">
        <v>0</v>
      </c>
      <c r="I13" s="44">
        <v>0</v>
      </c>
      <c r="J13" s="12">
        <v>44935</v>
      </c>
      <c r="K13" s="12">
        <v>44936</v>
      </c>
      <c r="L13" s="5" t="s">
        <v>48</v>
      </c>
      <c r="M13" s="5" t="s">
        <v>49</v>
      </c>
    </row>
    <row r="14" spans="1:13" x14ac:dyDescent="0.35">
      <c r="A14" s="1">
        <v>44928</v>
      </c>
      <c r="B14" s="43" t="s">
        <v>32</v>
      </c>
      <c r="C14" s="44">
        <v>423290</v>
      </c>
      <c r="D14" s="44">
        <f t="shared" ref="D14" si="4">C14/2</f>
        <v>211645</v>
      </c>
      <c r="E14" s="44">
        <f t="shared" ref="E14" si="5">C14/30</f>
        <v>14109.666666666666</v>
      </c>
      <c r="F14" s="44">
        <f>E14*12</f>
        <v>169316</v>
      </c>
      <c r="G14" s="35">
        <v>1</v>
      </c>
      <c r="H14" s="44">
        <f>C14/30*3*0.2</f>
        <v>8465.8000000000011</v>
      </c>
      <c r="I14" s="53">
        <f>C14/30*3*0.8</f>
        <v>33863.200000000004</v>
      </c>
      <c r="J14" s="12">
        <v>44937</v>
      </c>
      <c r="K14" s="12">
        <v>44937</v>
      </c>
      <c r="L14" s="5" t="s">
        <v>33</v>
      </c>
      <c r="M14" s="5" t="s">
        <v>34</v>
      </c>
    </row>
    <row r="15" spans="1:13" x14ac:dyDescent="0.35">
      <c r="A15" s="1">
        <v>44928</v>
      </c>
      <c r="B15" s="43" t="s">
        <v>38</v>
      </c>
      <c r="C15" s="44">
        <v>1388703.5</v>
      </c>
      <c r="D15" s="44">
        <f t="shared" ref="D15" si="6">C15/2</f>
        <v>694351.75</v>
      </c>
      <c r="E15" s="44">
        <f t="shared" ref="E15" si="7">C15/30</f>
        <v>46290.116666666669</v>
      </c>
      <c r="F15" s="44">
        <f>E15*13</f>
        <v>601771.51666666672</v>
      </c>
      <c r="G15" s="35">
        <v>2</v>
      </c>
      <c r="H15" s="44">
        <f>C15/30*2*0.2</f>
        <v>18516.046666666669</v>
      </c>
      <c r="I15" s="53">
        <f>C15/30*2*0.8</f>
        <v>74064.186666666676</v>
      </c>
      <c r="J15" s="12">
        <v>44938</v>
      </c>
      <c r="K15" s="12">
        <v>44939</v>
      </c>
      <c r="L15" s="5" t="s">
        <v>39</v>
      </c>
      <c r="M15" s="5" t="s">
        <v>34</v>
      </c>
    </row>
    <row r="16" spans="1:13" x14ac:dyDescent="0.35">
      <c r="A16" s="1">
        <v>44928</v>
      </c>
      <c r="B16" s="43" t="s">
        <v>35</v>
      </c>
      <c r="F16" s="44"/>
      <c r="G16" s="35">
        <v>2</v>
      </c>
      <c r="H16" s="44">
        <v>0</v>
      </c>
      <c r="I16" s="53">
        <v>0</v>
      </c>
      <c r="J16" s="12">
        <v>44938</v>
      </c>
      <c r="K16" s="12">
        <v>44939</v>
      </c>
      <c r="L16" s="5" t="s">
        <v>36</v>
      </c>
      <c r="M16" s="5" t="s">
        <v>29</v>
      </c>
    </row>
    <row r="17" spans="1:13" x14ac:dyDescent="0.35">
      <c r="A17" s="1">
        <v>44928</v>
      </c>
      <c r="B17" s="43" t="s">
        <v>35</v>
      </c>
      <c r="C17" s="44"/>
      <c r="D17" s="44"/>
      <c r="E17" s="44"/>
      <c r="F17" s="44"/>
      <c r="G17" s="35">
        <v>2</v>
      </c>
      <c r="H17" s="44">
        <v>0</v>
      </c>
      <c r="I17" s="44">
        <f>C17/30*3*0.8+C17/30*1*0.2</f>
        <v>0</v>
      </c>
      <c r="J17" s="12">
        <v>44942</v>
      </c>
      <c r="K17" s="12">
        <v>44943</v>
      </c>
      <c r="L17" s="5" t="s">
        <v>40</v>
      </c>
      <c r="M17" s="5" t="s">
        <v>29</v>
      </c>
    </row>
    <row r="18" spans="1:13" x14ac:dyDescent="0.35">
      <c r="A18" s="1">
        <v>44928</v>
      </c>
      <c r="B18" s="43" t="s">
        <v>35</v>
      </c>
      <c r="C18" s="44">
        <v>545289</v>
      </c>
      <c r="D18" s="44">
        <f>C18/2</f>
        <v>272644.5</v>
      </c>
      <c r="E18" s="44">
        <f>C18/30</f>
        <v>18176.3</v>
      </c>
      <c r="F18" s="44">
        <f>E18*9</f>
        <v>163586.69999999998</v>
      </c>
      <c r="G18" s="35">
        <v>2</v>
      </c>
      <c r="H18" s="44">
        <f>C18/30*3*0.2+C18/30*3*0.8</f>
        <v>54528.899999999994</v>
      </c>
      <c r="I18" s="44">
        <f>C18/30*3*0.8+C18/30*3*0.2</f>
        <v>54528.899999999994</v>
      </c>
      <c r="J18" s="14">
        <v>44944</v>
      </c>
      <c r="K18" s="14">
        <v>44945</v>
      </c>
      <c r="L18" s="3" t="s">
        <v>51</v>
      </c>
      <c r="M18" s="3" t="s">
        <v>52</v>
      </c>
    </row>
    <row r="19" spans="1:13" x14ac:dyDescent="0.35">
      <c r="A19" s="1"/>
      <c r="C19" s="13"/>
      <c r="D19" s="13"/>
      <c r="E19" s="13"/>
      <c r="F19" s="13"/>
      <c r="G19" s="36">
        <f>SUM(G9:G18)</f>
        <v>33</v>
      </c>
      <c r="H19" s="44">
        <f>SUM(H9:H18)</f>
        <v>595277.26666666672</v>
      </c>
      <c r="I19" s="44">
        <f>SUM(I9:I18)</f>
        <v>538361.56666666677</v>
      </c>
      <c r="J19" s="14"/>
    </row>
    <row r="20" spans="1:13" x14ac:dyDescent="0.35">
      <c r="A20" s="1"/>
      <c r="B20" s="60" t="s">
        <v>37</v>
      </c>
      <c r="C20" s="13"/>
      <c r="D20" s="13"/>
      <c r="E20" s="13"/>
      <c r="F20" s="13"/>
      <c r="H20" s="68">
        <f>H6+H19</f>
        <v>1080575.2666666666</v>
      </c>
      <c r="I20" s="66">
        <v>0</v>
      </c>
      <c r="J20" s="14"/>
    </row>
    <row r="21" spans="1:13" x14ac:dyDescent="0.35">
      <c r="A21" s="1"/>
      <c r="B21" s="61" t="s">
        <v>50</v>
      </c>
      <c r="C21" s="13"/>
      <c r="D21" s="13"/>
      <c r="E21" s="13"/>
      <c r="F21" s="13"/>
      <c r="H21" s="68">
        <f>I6+I19</f>
        <v>861893.56666666677</v>
      </c>
      <c r="I21" s="66">
        <f>I5-I19</f>
        <v>24138106.433333334</v>
      </c>
      <c r="J21" s="14"/>
    </row>
    <row r="22" spans="1:13" s="52" customFormat="1" x14ac:dyDescent="0.35">
      <c r="A22" s="45"/>
      <c r="B22" s="46"/>
      <c r="C22" s="47"/>
      <c r="D22" s="47"/>
      <c r="E22" s="47"/>
      <c r="F22" s="47"/>
      <c r="G22" s="48"/>
      <c r="H22" s="47"/>
      <c r="I22" s="49"/>
      <c r="J22" s="50"/>
      <c r="K22" s="51"/>
      <c r="L22" s="51"/>
      <c r="M22" s="51"/>
    </row>
    <row r="23" spans="1:13" x14ac:dyDescent="0.35">
      <c r="A23" s="1">
        <v>44958</v>
      </c>
      <c r="B23" s="43" t="s">
        <v>42</v>
      </c>
      <c r="C23" s="44">
        <v>307504</v>
      </c>
      <c r="D23" s="44">
        <f t="shared" ref="D23:D29" si="8">C23/2</f>
        <v>153752</v>
      </c>
      <c r="E23" s="44">
        <f t="shared" ref="E23:E29" si="9">C23/30</f>
        <v>10250.133333333333</v>
      </c>
      <c r="F23" s="44">
        <f>E23*13</f>
        <v>133251.73333333334</v>
      </c>
      <c r="G23" s="35">
        <v>2</v>
      </c>
      <c r="H23" s="44">
        <f>C23/30*3*0.2</f>
        <v>6150.0800000000008</v>
      </c>
      <c r="I23" s="44">
        <f>C23/30*2*0.8</f>
        <v>16400.213333333333</v>
      </c>
      <c r="J23" s="12">
        <v>44952</v>
      </c>
      <c r="K23" s="12">
        <v>44953</v>
      </c>
      <c r="L23" s="5" t="s">
        <v>64</v>
      </c>
      <c r="M23" s="5" t="s">
        <v>63</v>
      </c>
    </row>
    <row r="24" spans="1:13" x14ac:dyDescent="0.35">
      <c r="A24" s="1">
        <v>44958</v>
      </c>
      <c r="B24" s="43" t="s">
        <v>178</v>
      </c>
      <c r="C24" s="44">
        <v>713446</v>
      </c>
      <c r="D24" s="44">
        <f t="shared" si="8"/>
        <v>356723</v>
      </c>
      <c r="E24" s="44">
        <f t="shared" si="9"/>
        <v>23781.533333333333</v>
      </c>
      <c r="F24" s="44">
        <f>E24*12</f>
        <v>285378.40000000002</v>
      </c>
      <c r="G24" s="35">
        <v>3</v>
      </c>
      <c r="H24" s="44">
        <f>C24/30*3*0.2</f>
        <v>14268.920000000002</v>
      </c>
      <c r="I24" s="44">
        <f>C24/30*3*0.8</f>
        <v>57075.680000000008</v>
      </c>
      <c r="J24" s="12">
        <v>44949</v>
      </c>
      <c r="K24" s="12">
        <v>44951</v>
      </c>
      <c r="L24" s="5" t="s">
        <v>57</v>
      </c>
      <c r="M24" s="5" t="s">
        <v>58</v>
      </c>
    </row>
    <row r="25" spans="1:13" x14ac:dyDescent="0.35">
      <c r="A25" s="1">
        <v>44958</v>
      </c>
      <c r="B25" s="43" t="s">
        <v>35</v>
      </c>
      <c r="C25" s="44">
        <v>545289</v>
      </c>
      <c r="D25" s="44">
        <f t="shared" si="8"/>
        <v>272644.5</v>
      </c>
      <c r="E25" s="44">
        <f t="shared" si="9"/>
        <v>18176.3</v>
      </c>
      <c r="F25" s="44">
        <f>E25*14</f>
        <v>254468.19999999998</v>
      </c>
      <c r="G25" s="35">
        <v>1</v>
      </c>
      <c r="H25" s="44">
        <f>C25/30*1*0.2</f>
        <v>3635.26</v>
      </c>
      <c r="I25" s="44">
        <f>C25/30*1*0.8</f>
        <v>14541.04</v>
      </c>
      <c r="J25" s="12">
        <v>44944</v>
      </c>
      <c r="K25" s="12">
        <v>44945</v>
      </c>
      <c r="L25" s="5" t="s">
        <v>51</v>
      </c>
      <c r="M25" s="5" t="s">
        <v>52</v>
      </c>
    </row>
    <row r="26" spans="1:13" x14ac:dyDescent="0.35">
      <c r="A26" s="1">
        <v>44958</v>
      </c>
      <c r="B26" s="43" t="s">
        <v>65</v>
      </c>
      <c r="C26" s="44">
        <v>380673</v>
      </c>
      <c r="D26" s="44">
        <f t="shared" ref="D26" si="10">C26/2</f>
        <v>190336.5</v>
      </c>
      <c r="E26" s="44">
        <f t="shared" ref="E26" si="11">C26/30</f>
        <v>12689.1</v>
      </c>
      <c r="F26" s="44">
        <f>E26*7</f>
        <v>88823.7</v>
      </c>
      <c r="G26" s="35">
        <v>8</v>
      </c>
      <c r="H26" s="44">
        <f>C26/30*7*0.8</f>
        <v>71058.960000000006</v>
      </c>
      <c r="I26" s="44">
        <f>C26/30*8*0.2</f>
        <v>20302.560000000001</v>
      </c>
      <c r="J26" s="12">
        <v>44964</v>
      </c>
      <c r="K26" s="12">
        <v>44971</v>
      </c>
      <c r="L26" s="62" t="s">
        <v>66</v>
      </c>
      <c r="M26" s="5" t="s">
        <v>56</v>
      </c>
    </row>
    <row r="27" spans="1:13" x14ac:dyDescent="0.35">
      <c r="A27" s="1">
        <v>44958</v>
      </c>
      <c r="B27" s="43" t="s">
        <v>53</v>
      </c>
      <c r="C27" s="44">
        <v>435545</v>
      </c>
      <c r="D27" s="44">
        <f t="shared" si="8"/>
        <v>217772.5</v>
      </c>
      <c r="E27" s="44">
        <f t="shared" si="9"/>
        <v>14518.166666666666</v>
      </c>
      <c r="F27" s="44">
        <f>E27*13</f>
        <v>188736.16666666666</v>
      </c>
      <c r="G27" s="35">
        <v>2</v>
      </c>
      <c r="H27" s="44">
        <f>C27/30*2*0.2</f>
        <v>5807.2666666666664</v>
      </c>
      <c r="I27" s="44">
        <f>C27/30*2*0.8</f>
        <v>23229.066666666666</v>
      </c>
      <c r="J27" s="12">
        <v>44945</v>
      </c>
      <c r="K27" s="12">
        <v>44946</v>
      </c>
      <c r="L27" s="5" t="s">
        <v>54</v>
      </c>
      <c r="M27" s="5" t="s">
        <v>34</v>
      </c>
    </row>
    <row r="28" spans="1:13" x14ac:dyDescent="0.35">
      <c r="A28" s="1">
        <v>44958</v>
      </c>
      <c r="B28" s="43" t="s">
        <v>149</v>
      </c>
      <c r="C28" s="44">
        <v>475035</v>
      </c>
      <c r="D28" s="44">
        <f t="shared" si="8"/>
        <v>237517.5</v>
      </c>
      <c r="E28" s="44">
        <f t="shared" si="9"/>
        <v>15834.5</v>
      </c>
      <c r="F28" s="44">
        <f>E28*0</f>
        <v>0</v>
      </c>
      <c r="G28" s="35">
        <v>15</v>
      </c>
      <c r="H28" s="44">
        <f>C28/30*15*0.8</f>
        <v>190014</v>
      </c>
      <c r="I28" s="44">
        <f>C28/30*15*0.2</f>
        <v>47503.5</v>
      </c>
      <c r="J28" s="12">
        <v>44945</v>
      </c>
      <c r="K28" s="12">
        <v>44974</v>
      </c>
      <c r="L28" s="5" t="s">
        <v>55</v>
      </c>
      <c r="M28" s="5" t="s">
        <v>56</v>
      </c>
    </row>
    <row r="29" spans="1:13" x14ac:dyDescent="0.35">
      <c r="A29" s="1">
        <v>44958</v>
      </c>
      <c r="B29" s="43" t="s">
        <v>59</v>
      </c>
      <c r="C29" s="44">
        <v>1194377</v>
      </c>
      <c r="D29" s="44">
        <f t="shared" si="8"/>
        <v>597188.5</v>
      </c>
      <c r="E29" s="44">
        <f t="shared" si="9"/>
        <v>39812.566666666666</v>
      </c>
      <c r="F29" s="44">
        <f>D29/2</f>
        <v>298594.25</v>
      </c>
      <c r="G29" s="35">
        <v>15</v>
      </c>
      <c r="H29" s="44">
        <f>D29/2</f>
        <v>298594.25</v>
      </c>
      <c r="I29" s="55">
        <v>0</v>
      </c>
      <c r="J29" s="12">
        <v>44957</v>
      </c>
      <c r="K29" s="12">
        <v>45076</v>
      </c>
      <c r="L29" s="5" t="s">
        <v>60</v>
      </c>
      <c r="M29" s="56" t="s">
        <v>61</v>
      </c>
    </row>
    <row r="30" spans="1:13" x14ac:dyDescent="0.35">
      <c r="A30" s="1"/>
      <c r="C30" s="13"/>
      <c r="D30" s="13"/>
      <c r="E30" s="13"/>
      <c r="F30" s="13"/>
      <c r="G30" s="36">
        <f>SUM(G23:G29)</f>
        <v>46</v>
      </c>
      <c r="H30" s="54">
        <f>SUM(H23:H29)</f>
        <v>589528.73666666669</v>
      </c>
      <c r="I30" s="54">
        <f>SUM(I23:I29)</f>
        <v>179052.06</v>
      </c>
      <c r="J30" s="14"/>
    </row>
    <row r="31" spans="1:13" x14ac:dyDescent="0.35">
      <c r="A31" s="1"/>
      <c r="B31" s="60" t="s">
        <v>37</v>
      </c>
      <c r="C31" s="13"/>
      <c r="D31" s="13"/>
      <c r="E31" s="13"/>
      <c r="F31" s="13"/>
      <c r="H31" s="68">
        <f>H20+H30</f>
        <v>1670104.0033333334</v>
      </c>
      <c r="I31" s="66"/>
      <c r="J31" s="14"/>
    </row>
    <row r="32" spans="1:13" x14ac:dyDescent="0.35">
      <c r="A32" s="1"/>
      <c r="B32" s="61" t="s">
        <v>50</v>
      </c>
      <c r="C32" s="13"/>
      <c r="D32" s="13"/>
      <c r="E32" s="13"/>
      <c r="F32" s="13"/>
      <c r="H32" s="68">
        <f>H21+I30</f>
        <v>1040945.6266666667</v>
      </c>
      <c r="I32" s="66">
        <f>I21-I30</f>
        <v>23959054.373333335</v>
      </c>
      <c r="J32" s="14"/>
    </row>
    <row r="33" spans="1:13" s="45" customFormat="1" x14ac:dyDescent="0.35"/>
    <row r="34" spans="1:13" x14ac:dyDescent="0.35">
      <c r="A34" s="1">
        <v>44959</v>
      </c>
      <c r="B34" s="43" t="s">
        <v>77</v>
      </c>
      <c r="C34" s="44">
        <v>401686</v>
      </c>
      <c r="D34" s="44">
        <f>C34/2</f>
        <v>200843</v>
      </c>
      <c r="E34" s="44">
        <f>C34/30</f>
        <v>13389.533333333333</v>
      </c>
      <c r="F34" s="44">
        <f>E34*9</f>
        <v>120505.79999999999</v>
      </c>
      <c r="G34" s="35">
        <v>3</v>
      </c>
      <c r="H34" s="63">
        <f>C34/30*6*0.2</f>
        <v>16067.44</v>
      </c>
      <c r="I34" s="64">
        <f>C34/30*6*0.8</f>
        <v>64269.760000000002</v>
      </c>
      <c r="J34" s="12">
        <v>44971</v>
      </c>
      <c r="K34" s="5" t="s">
        <v>82</v>
      </c>
      <c r="L34" s="5" t="s">
        <v>85</v>
      </c>
      <c r="M34" s="5" t="s">
        <v>34</v>
      </c>
    </row>
    <row r="35" spans="1:13" x14ac:dyDescent="0.35">
      <c r="A35" s="1">
        <v>44959</v>
      </c>
      <c r="B35" s="43" t="s">
        <v>77</v>
      </c>
      <c r="C35" s="44"/>
      <c r="D35" s="44">
        <f>C35/2</f>
        <v>0</v>
      </c>
      <c r="E35" s="44">
        <f>C35/30</f>
        <v>0</v>
      </c>
      <c r="F35" s="44"/>
      <c r="G35" s="35">
        <v>3</v>
      </c>
      <c r="H35" s="63">
        <v>0</v>
      </c>
      <c r="I35" s="64">
        <v>0</v>
      </c>
      <c r="J35" s="12">
        <v>44977</v>
      </c>
      <c r="K35" s="5" t="s">
        <v>78</v>
      </c>
      <c r="L35" s="5" t="s">
        <v>79</v>
      </c>
      <c r="M35" s="5" t="s">
        <v>34</v>
      </c>
    </row>
    <row r="36" spans="1:13" x14ac:dyDescent="0.35">
      <c r="A36" s="1">
        <v>44959</v>
      </c>
      <c r="B36" s="43" t="s">
        <v>67</v>
      </c>
      <c r="C36" s="44">
        <v>293000</v>
      </c>
      <c r="D36" s="44">
        <f t="shared" ref="D36:D42" si="12">C36/2</f>
        <v>146500</v>
      </c>
      <c r="E36" s="44">
        <f t="shared" ref="E36:E42" si="13">C36/30</f>
        <v>9766.6666666666661</v>
      </c>
      <c r="F36" s="44">
        <f>E36*13</f>
        <v>126966.66666666666</v>
      </c>
      <c r="G36" s="35">
        <v>2</v>
      </c>
      <c r="H36" s="44">
        <f>C36/30*2*0.2</f>
        <v>3906.6666666666665</v>
      </c>
      <c r="I36" s="53">
        <f>C36/30*2*0.8</f>
        <v>15626.666666666666</v>
      </c>
      <c r="J36" s="12">
        <v>44966</v>
      </c>
      <c r="K36" s="12">
        <v>44967</v>
      </c>
      <c r="L36" s="5" t="s">
        <v>68</v>
      </c>
      <c r="M36" s="5" t="s">
        <v>34</v>
      </c>
    </row>
    <row r="37" spans="1:13" x14ac:dyDescent="0.35">
      <c r="A37" s="1">
        <v>44959</v>
      </c>
      <c r="B37" s="43" t="s">
        <v>74</v>
      </c>
      <c r="C37" s="44">
        <v>778541</v>
      </c>
      <c r="D37" s="44">
        <f t="shared" si="12"/>
        <v>389270.5</v>
      </c>
      <c r="E37" s="44">
        <f t="shared" si="13"/>
        <v>25951.366666666665</v>
      </c>
      <c r="F37" s="44">
        <f>E37*13</f>
        <v>337367.76666666666</v>
      </c>
      <c r="G37" s="35">
        <v>2</v>
      </c>
      <c r="H37" s="44">
        <f>C37/30*2*0.2</f>
        <v>10380.546666666667</v>
      </c>
      <c r="I37" s="53">
        <f>C37/30*2*0.8</f>
        <v>41522.186666666668</v>
      </c>
      <c r="J37" s="12">
        <v>44973</v>
      </c>
      <c r="K37" s="12">
        <v>44974</v>
      </c>
      <c r="L37" s="5" t="s">
        <v>75</v>
      </c>
      <c r="M37" s="5" t="s">
        <v>76</v>
      </c>
    </row>
    <row r="38" spans="1:13" x14ac:dyDescent="0.35">
      <c r="A38" s="1">
        <v>44959</v>
      </c>
      <c r="B38" s="43" t="s">
        <v>69</v>
      </c>
      <c r="C38" s="44">
        <v>339955</v>
      </c>
      <c r="D38" s="44">
        <f t="shared" si="12"/>
        <v>169977.5</v>
      </c>
      <c r="E38" s="44">
        <f t="shared" si="13"/>
        <v>11331.833333333334</v>
      </c>
      <c r="F38" s="44">
        <f>E38*10</f>
        <v>113318.33333333334</v>
      </c>
      <c r="G38" s="35">
        <v>5</v>
      </c>
      <c r="H38" s="44">
        <f>C38/30*3*0.2+C38/30*2*0.8</f>
        <v>24930.033333333333</v>
      </c>
      <c r="I38" s="53">
        <f>C38/30*3*0.8+C38/30*2*0.2</f>
        <v>31729.133333333335</v>
      </c>
      <c r="J38" s="12">
        <v>44970</v>
      </c>
      <c r="K38" s="12">
        <v>44974</v>
      </c>
      <c r="L38" s="5" t="s">
        <v>70</v>
      </c>
      <c r="M38" s="5" t="s">
        <v>34</v>
      </c>
    </row>
    <row r="39" spans="1:13" x14ac:dyDescent="0.35">
      <c r="A39" s="1">
        <v>44959</v>
      </c>
      <c r="B39" s="43" t="s">
        <v>80</v>
      </c>
      <c r="C39" s="44">
        <v>1347225</v>
      </c>
      <c r="D39" s="44">
        <f t="shared" si="12"/>
        <v>673612.5</v>
      </c>
      <c r="E39" s="44">
        <f t="shared" ref="E39" si="14">C39/30</f>
        <v>44907.5</v>
      </c>
      <c r="F39" s="44">
        <f>E39*14</f>
        <v>628705</v>
      </c>
      <c r="G39" s="35">
        <v>1</v>
      </c>
      <c r="H39" s="44">
        <f>C39/30*1*0.2</f>
        <v>8981.5</v>
      </c>
      <c r="I39" s="53">
        <f>C39/30*1*0.8</f>
        <v>35926</v>
      </c>
      <c r="J39" s="12">
        <v>44977</v>
      </c>
      <c r="K39" s="12">
        <v>44977</v>
      </c>
      <c r="L39" s="5" t="s">
        <v>81</v>
      </c>
      <c r="M39" s="5" t="s">
        <v>34</v>
      </c>
    </row>
    <row r="40" spans="1:13" x14ac:dyDescent="0.35">
      <c r="A40" s="1">
        <v>44959</v>
      </c>
      <c r="B40" s="43" t="s">
        <v>149</v>
      </c>
      <c r="C40" s="44">
        <v>475035</v>
      </c>
      <c r="D40" s="44">
        <f t="shared" si="12"/>
        <v>237517.5</v>
      </c>
      <c r="E40" s="44">
        <f t="shared" si="13"/>
        <v>15834.5</v>
      </c>
      <c r="F40" s="44">
        <f>E40*0</f>
        <v>0</v>
      </c>
      <c r="G40" s="35">
        <v>15</v>
      </c>
      <c r="H40" s="44">
        <f>C40/30*10*0.8+C40/30*3*0.6</f>
        <v>155178.1</v>
      </c>
      <c r="I40" s="44">
        <f>C40/30*10*0.2+C40/30*3*0.4</f>
        <v>50670.400000000001</v>
      </c>
      <c r="J40" s="12">
        <v>44945</v>
      </c>
      <c r="K40" s="12">
        <v>44974</v>
      </c>
      <c r="L40" s="5" t="s">
        <v>55</v>
      </c>
      <c r="M40" s="5" t="s">
        <v>56</v>
      </c>
    </row>
    <row r="41" spans="1:13" x14ac:dyDescent="0.35">
      <c r="A41" s="1">
        <v>44959</v>
      </c>
      <c r="B41" s="43" t="s">
        <v>71</v>
      </c>
      <c r="C41" s="44">
        <v>326237</v>
      </c>
      <c r="D41" s="44">
        <f t="shared" si="12"/>
        <v>163118.5</v>
      </c>
      <c r="E41" s="44">
        <f t="shared" si="13"/>
        <v>10874.566666666668</v>
      </c>
      <c r="F41" s="44">
        <f>E41*14</f>
        <v>152243.93333333335</v>
      </c>
      <c r="G41" s="35">
        <v>1</v>
      </c>
      <c r="H41" s="63">
        <f>C41/30*1*0.2</f>
        <v>2174.9133333333334</v>
      </c>
      <c r="I41" s="64">
        <f>C41/30*0.8</f>
        <v>8699.6533333333336</v>
      </c>
      <c r="J41" s="12">
        <v>44970</v>
      </c>
      <c r="K41" s="12">
        <v>44970</v>
      </c>
      <c r="L41" s="5" t="s">
        <v>72</v>
      </c>
      <c r="M41" s="5" t="s">
        <v>73</v>
      </c>
    </row>
    <row r="42" spans="1:13" x14ac:dyDescent="0.35">
      <c r="A42" s="1">
        <v>44959</v>
      </c>
      <c r="B42" s="43" t="s">
        <v>59</v>
      </c>
      <c r="C42" s="44">
        <v>1194377</v>
      </c>
      <c r="D42" s="44">
        <f t="shared" si="12"/>
        <v>597188.5</v>
      </c>
      <c r="E42" s="44">
        <f t="shared" si="13"/>
        <v>39812.566666666666</v>
      </c>
      <c r="F42" s="44">
        <f>D42/2</f>
        <v>298594.25</v>
      </c>
      <c r="G42" s="35">
        <v>15</v>
      </c>
      <c r="H42" s="44">
        <f>D42/2</f>
        <v>298594.25</v>
      </c>
      <c r="I42" s="55">
        <v>0</v>
      </c>
      <c r="J42" s="12">
        <v>44957</v>
      </c>
      <c r="K42" s="12">
        <v>45076</v>
      </c>
      <c r="L42" s="5" t="s">
        <v>60</v>
      </c>
      <c r="M42" s="56" t="s">
        <v>61</v>
      </c>
    </row>
    <row r="43" spans="1:13" x14ac:dyDescent="0.35">
      <c r="A43" s="1"/>
      <c r="G43" s="36">
        <f>SUM(G34:G42)</f>
        <v>47</v>
      </c>
      <c r="H43" s="63">
        <f>SUM(H34:H42)</f>
        <v>520213.45</v>
      </c>
      <c r="I43" s="53">
        <f>SUM(I34:I42)</f>
        <v>248443.8</v>
      </c>
    </row>
    <row r="44" spans="1:13" x14ac:dyDescent="0.35">
      <c r="A44" s="1"/>
      <c r="B44" s="60" t="s">
        <v>37</v>
      </c>
      <c r="C44" s="13"/>
      <c r="D44" s="13"/>
      <c r="E44" s="13"/>
      <c r="F44" s="13"/>
      <c r="H44" s="68">
        <f>H31+H43</f>
        <v>2190317.4533333336</v>
      </c>
      <c r="I44" s="53"/>
      <c r="J44" s="14"/>
    </row>
    <row r="45" spans="1:13" x14ac:dyDescent="0.35">
      <c r="A45" s="1"/>
      <c r="B45" s="61" t="s">
        <v>50</v>
      </c>
      <c r="C45" s="13"/>
      <c r="D45" s="13"/>
      <c r="E45" s="13"/>
      <c r="F45" s="13"/>
      <c r="H45" s="68">
        <f>H32+I43</f>
        <v>1289389.4266666668</v>
      </c>
      <c r="I45" s="66">
        <f>I32-I43</f>
        <v>23710610.573333334</v>
      </c>
      <c r="J45" s="14"/>
    </row>
    <row r="46" spans="1:13" s="45" customFormat="1" x14ac:dyDescent="0.35"/>
    <row r="47" spans="1:13" x14ac:dyDescent="0.35">
      <c r="A47" s="1">
        <v>44986</v>
      </c>
      <c r="B47" s="43" t="s">
        <v>133</v>
      </c>
      <c r="C47" s="44">
        <v>807491</v>
      </c>
      <c r="D47" s="44">
        <f t="shared" ref="D47:D52" si="15">C47/2</f>
        <v>403745.5</v>
      </c>
      <c r="E47" s="44">
        <f t="shared" ref="E47:E52" si="16">C47/30</f>
        <v>26916.366666666665</v>
      </c>
      <c r="F47" s="44">
        <f>E47*10</f>
        <v>269163.66666666663</v>
      </c>
      <c r="G47" s="35">
        <v>5</v>
      </c>
      <c r="H47" s="64">
        <f>C47/30*3*0.2+C47/30*2*0.8</f>
        <v>59216.006666666668</v>
      </c>
      <c r="I47" s="64">
        <f>C47/30*3*0.8+C47/30*3*0.2</f>
        <v>80749.100000000006</v>
      </c>
      <c r="J47" s="12">
        <v>44984</v>
      </c>
      <c r="K47" s="12">
        <v>44988</v>
      </c>
      <c r="L47" s="5" t="s">
        <v>86</v>
      </c>
      <c r="M47" s="5" t="s">
        <v>34</v>
      </c>
    </row>
    <row r="48" spans="1:13" x14ac:dyDescent="0.35">
      <c r="A48" s="1">
        <v>44986</v>
      </c>
      <c r="B48" s="43" t="s">
        <v>93</v>
      </c>
      <c r="C48" s="44">
        <v>293000</v>
      </c>
      <c r="D48" s="44">
        <f t="shared" si="15"/>
        <v>146500</v>
      </c>
      <c r="E48" s="44">
        <f t="shared" si="16"/>
        <v>9766.6666666666661</v>
      </c>
      <c r="F48" s="44">
        <f>E48*12</f>
        <v>117200</v>
      </c>
      <c r="G48" s="35">
        <v>3</v>
      </c>
      <c r="H48" s="64">
        <f>C48/30*3*0.2</f>
        <v>5860</v>
      </c>
      <c r="I48" s="64">
        <f>C48/30*3*0.8</f>
        <v>23440</v>
      </c>
      <c r="J48" s="12">
        <v>44991</v>
      </c>
      <c r="K48" s="12">
        <v>44993</v>
      </c>
      <c r="L48" s="5" t="s">
        <v>94</v>
      </c>
      <c r="M48" s="5" t="s">
        <v>34</v>
      </c>
    </row>
    <row r="49" spans="1:13" x14ac:dyDescent="0.35">
      <c r="A49" s="1">
        <v>44986</v>
      </c>
      <c r="B49" s="43" t="s">
        <v>90</v>
      </c>
      <c r="C49" s="44">
        <v>351573</v>
      </c>
      <c r="D49" s="44">
        <f t="shared" si="15"/>
        <v>175786.5</v>
      </c>
      <c r="E49" s="44">
        <f t="shared" si="16"/>
        <v>11719.1</v>
      </c>
      <c r="F49" s="44">
        <f>E49*10</f>
        <v>117191</v>
      </c>
      <c r="G49" s="35">
        <v>1</v>
      </c>
      <c r="H49" s="64">
        <f>C49/30*1*0.2</f>
        <v>2343.8200000000002</v>
      </c>
      <c r="I49" s="64">
        <f>C49/30*1*0.8</f>
        <v>9375.2800000000007</v>
      </c>
      <c r="J49" s="12">
        <v>44707</v>
      </c>
      <c r="K49" s="12">
        <v>44707</v>
      </c>
      <c r="L49" s="5" t="s">
        <v>88</v>
      </c>
      <c r="M49" s="5" t="s">
        <v>92</v>
      </c>
    </row>
    <row r="50" spans="1:13" x14ac:dyDescent="0.35">
      <c r="A50" s="1">
        <v>44986</v>
      </c>
      <c r="B50" s="43" t="s">
        <v>83</v>
      </c>
      <c r="C50" s="44">
        <v>339955</v>
      </c>
      <c r="D50" s="44">
        <f t="shared" si="15"/>
        <v>169977.5</v>
      </c>
      <c r="E50" s="44">
        <f t="shared" si="16"/>
        <v>11331.833333333334</v>
      </c>
      <c r="F50" s="44">
        <f>E50*13</f>
        <v>147313.83333333334</v>
      </c>
      <c r="G50" s="35">
        <v>2</v>
      </c>
      <c r="H50" s="44">
        <f>C50/30*2*0.2</f>
        <v>4532.7333333333336</v>
      </c>
      <c r="I50" s="64">
        <f>C50/30*2*0.8</f>
        <v>18130.933333333334</v>
      </c>
      <c r="J50" s="12">
        <v>44980</v>
      </c>
      <c r="K50" s="12">
        <v>45009</v>
      </c>
      <c r="L50" s="5" t="s">
        <v>84</v>
      </c>
      <c r="M50" s="5" t="s">
        <v>34</v>
      </c>
    </row>
    <row r="51" spans="1:13" x14ac:dyDescent="0.35">
      <c r="A51" s="1">
        <v>44986</v>
      </c>
      <c r="B51" s="43" t="s">
        <v>87</v>
      </c>
      <c r="C51" s="44">
        <v>1440124.5</v>
      </c>
      <c r="D51" s="44">
        <f t="shared" si="15"/>
        <v>720062.25</v>
      </c>
      <c r="E51" s="44">
        <f t="shared" si="16"/>
        <v>48004.15</v>
      </c>
      <c r="F51" s="44">
        <v>0</v>
      </c>
      <c r="G51" s="35">
        <v>1</v>
      </c>
      <c r="H51" s="65">
        <v>0</v>
      </c>
      <c r="I51" s="64">
        <v>0</v>
      </c>
      <c r="J51" s="12">
        <v>44986</v>
      </c>
      <c r="K51" s="12">
        <v>44986</v>
      </c>
      <c r="L51" s="5" t="s">
        <v>91</v>
      </c>
      <c r="M51" s="5" t="s">
        <v>89</v>
      </c>
    </row>
    <row r="52" spans="1:13" x14ac:dyDescent="0.35">
      <c r="A52" s="1">
        <v>44986</v>
      </c>
      <c r="B52" s="43" t="s">
        <v>87</v>
      </c>
      <c r="C52" s="44">
        <v>1440125.5</v>
      </c>
      <c r="D52" s="44">
        <f t="shared" si="15"/>
        <v>720062.75</v>
      </c>
      <c r="E52" s="44">
        <f t="shared" si="16"/>
        <v>48004.183333333334</v>
      </c>
      <c r="F52" s="44">
        <f>E52*11</f>
        <v>528046.01666666672</v>
      </c>
      <c r="G52" s="35">
        <v>2</v>
      </c>
      <c r="H52" s="44">
        <f>C52/30*3*0.2+C52/30*1*0.8</f>
        <v>67205.856666666674</v>
      </c>
      <c r="I52" s="64">
        <f>C52/30*3*0.8+C52/30*1*0.2</f>
        <v>124810.87666666666</v>
      </c>
      <c r="J52" s="12">
        <v>44991</v>
      </c>
      <c r="K52" s="12">
        <v>44993</v>
      </c>
      <c r="L52" s="5" t="s">
        <v>96</v>
      </c>
      <c r="M52" s="5" t="s">
        <v>34</v>
      </c>
    </row>
    <row r="53" spans="1:13" x14ac:dyDescent="0.35">
      <c r="A53" s="1">
        <v>44986</v>
      </c>
      <c r="B53" s="43" t="s">
        <v>149</v>
      </c>
      <c r="C53" s="44">
        <v>475035</v>
      </c>
      <c r="D53" s="44">
        <f t="shared" ref="D53" si="17">C53/2</f>
        <v>237517.5</v>
      </c>
      <c r="E53" s="44">
        <f t="shared" ref="E53" si="18">C53/30</f>
        <v>15834.5</v>
      </c>
      <c r="F53" s="44">
        <f>E53*13</f>
        <v>205848.5</v>
      </c>
      <c r="G53" s="35">
        <v>2</v>
      </c>
      <c r="H53" s="44">
        <f>C53/30*2*0.6</f>
        <v>19001.399999999998</v>
      </c>
      <c r="I53" s="63">
        <f>C53/30*2*0.4</f>
        <v>12667.6</v>
      </c>
      <c r="J53" s="12">
        <v>44945</v>
      </c>
      <c r="K53" s="12">
        <v>44974</v>
      </c>
      <c r="L53" s="5" t="s">
        <v>55</v>
      </c>
      <c r="M53" s="5" t="s">
        <v>56</v>
      </c>
    </row>
    <row r="54" spans="1:13" x14ac:dyDescent="0.35">
      <c r="A54" s="1">
        <v>44986</v>
      </c>
      <c r="B54" s="43" t="s">
        <v>97</v>
      </c>
      <c r="C54" s="44">
        <v>456718</v>
      </c>
      <c r="D54" s="44">
        <f t="shared" ref="D54" si="19">C54/2</f>
        <v>228359</v>
      </c>
      <c r="E54" s="44">
        <f t="shared" ref="E54" si="20">C54/30</f>
        <v>15223.933333333332</v>
      </c>
      <c r="F54" s="44">
        <f>E54*12</f>
        <v>182687.19999999998</v>
      </c>
      <c r="G54" s="35">
        <v>3</v>
      </c>
      <c r="H54" s="44">
        <f>C54/30*3*0.2</f>
        <v>9134.3599999999988</v>
      </c>
      <c r="I54" s="63">
        <f>C54/30*3*0.8</f>
        <v>36537.439999999995</v>
      </c>
      <c r="J54" s="12">
        <v>44986</v>
      </c>
      <c r="K54" s="12">
        <v>44988</v>
      </c>
      <c r="L54" s="5" t="s">
        <v>98</v>
      </c>
      <c r="M54" s="5" t="s">
        <v>99</v>
      </c>
    </row>
    <row r="55" spans="1:13" x14ac:dyDescent="0.35">
      <c r="A55" s="1">
        <v>44986</v>
      </c>
      <c r="B55" s="43" t="s">
        <v>53</v>
      </c>
      <c r="C55" s="44">
        <v>435545</v>
      </c>
      <c r="D55" s="44">
        <f t="shared" ref="D55" si="21">C55/2</f>
        <v>217772.5</v>
      </c>
      <c r="E55" s="44">
        <f t="shared" ref="E55" si="22">C55/30</f>
        <v>14518.166666666666</v>
      </c>
      <c r="F55" s="44">
        <f>E55*10</f>
        <v>145181.66666666666</v>
      </c>
      <c r="G55" s="35">
        <v>5</v>
      </c>
      <c r="H55" s="44">
        <f>C55/30*3*0.2+C55/30*2*0.8</f>
        <v>31939.966666666667</v>
      </c>
      <c r="I55" s="63">
        <f>C55/30*3*0.8+C55/30*2*0.2</f>
        <v>40650.866666666669</v>
      </c>
      <c r="J55" s="12">
        <v>44991</v>
      </c>
      <c r="K55" s="12">
        <v>44995</v>
      </c>
      <c r="L55" s="5" t="s">
        <v>95</v>
      </c>
      <c r="M55" s="5" t="s">
        <v>34</v>
      </c>
    </row>
    <row r="56" spans="1:13" x14ac:dyDescent="0.35">
      <c r="A56" s="1">
        <v>44986</v>
      </c>
      <c r="B56" s="43" t="s">
        <v>59</v>
      </c>
      <c r="C56" s="44">
        <v>1194377</v>
      </c>
      <c r="D56" s="44">
        <f t="shared" ref="D56" si="23">C56/2</f>
        <v>597188.5</v>
      </c>
      <c r="E56" s="44">
        <f t="shared" ref="E56" si="24">C56/30</f>
        <v>39812.566666666666</v>
      </c>
      <c r="F56" s="44">
        <f>D56/2</f>
        <v>298594.25</v>
      </c>
      <c r="G56" s="35">
        <v>15</v>
      </c>
      <c r="H56" s="44">
        <f>D56/2</f>
        <v>298594.25</v>
      </c>
      <c r="I56" s="67">
        <v>0</v>
      </c>
      <c r="J56" s="12">
        <v>44957</v>
      </c>
      <c r="K56" s="12">
        <v>45076</v>
      </c>
      <c r="L56" s="5" t="s">
        <v>60</v>
      </c>
      <c r="M56" s="56" t="s">
        <v>61</v>
      </c>
    </row>
    <row r="57" spans="1:13" x14ac:dyDescent="0.35">
      <c r="A57" s="1"/>
      <c r="C57" s="13"/>
      <c r="D57" s="13"/>
      <c r="E57" s="13"/>
      <c r="F57" s="13"/>
      <c r="G57" s="36">
        <f>SUM(G47:G56)</f>
        <v>39</v>
      </c>
      <c r="H57" s="44">
        <f>SUM(H47:H56)</f>
        <v>497828.39333333331</v>
      </c>
      <c r="I57" s="64">
        <f>SUM(I47:I56)</f>
        <v>346362.09666666668</v>
      </c>
      <c r="J57" s="14"/>
    </row>
    <row r="58" spans="1:13" x14ac:dyDescent="0.35">
      <c r="A58" s="1"/>
      <c r="B58" s="60" t="s">
        <v>37</v>
      </c>
      <c r="C58" s="13"/>
      <c r="D58" s="13"/>
      <c r="E58" s="13"/>
      <c r="F58" s="13"/>
      <c r="H58" s="68">
        <f>H44+H57</f>
        <v>2688145.8466666667</v>
      </c>
      <c r="I58" s="66"/>
      <c r="J58" s="14"/>
    </row>
    <row r="59" spans="1:13" x14ac:dyDescent="0.35">
      <c r="A59" s="1"/>
      <c r="B59" s="61" t="s">
        <v>50</v>
      </c>
      <c r="C59" s="13"/>
      <c r="D59" s="13"/>
      <c r="E59" s="13"/>
      <c r="F59" s="13"/>
      <c r="H59" s="68">
        <f>H45+I57</f>
        <v>1635751.5233333334</v>
      </c>
      <c r="I59" s="66">
        <f>I45-I57</f>
        <v>23364248.476666667</v>
      </c>
      <c r="J59" s="14"/>
    </row>
    <row r="60" spans="1:13" s="45" customFormat="1" x14ac:dyDescent="0.35"/>
    <row r="61" spans="1:13" s="43" customFormat="1" x14ac:dyDescent="0.35">
      <c r="A61" s="1">
        <v>44987</v>
      </c>
      <c r="B61" s="43" t="s">
        <v>109</v>
      </c>
      <c r="C61" s="44">
        <v>1938332</v>
      </c>
      <c r="D61" s="44">
        <f>C61/2</f>
        <v>969166</v>
      </c>
      <c r="E61" s="44">
        <f>C61/30</f>
        <v>64611.066666666666</v>
      </c>
      <c r="F61" s="44">
        <f>E61*10</f>
        <v>646110.66666666663</v>
      </c>
      <c r="G61" s="35">
        <v>5</v>
      </c>
      <c r="H61" s="64">
        <f>C61/30*3*0.2+C61/30*2*0.8</f>
        <v>142144.34666666668</v>
      </c>
      <c r="I61" s="64">
        <f>C61/30*3*0.8+C61/30*2*0.2</f>
        <v>180910.98666666669</v>
      </c>
      <c r="J61" s="12">
        <v>44998</v>
      </c>
      <c r="K61" s="12">
        <v>45002</v>
      </c>
      <c r="L61" s="5" t="s">
        <v>110</v>
      </c>
      <c r="M61" s="5" t="s">
        <v>34</v>
      </c>
    </row>
    <row r="62" spans="1:13" x14ac:dyDescent="0.35">
      <c r="A62" s="1">
        <v>44987</v>
      </c>
      <c r="B62" s="43" t="s">
        <v>133</v>
      </c>
      <c r="C62" s="44">
        <v>807491</v>
      </c>
      <c r="D62" s="44">
        <f t="shared" ref="D62" si="25">C62/2</f>
        <v>403745.5</v>
      </c>
      <c r="E62" s="44">
        <f t="shared" ref="E62" si="26">C62/30</f>
        <v>26916.366666666665</v>
      </c>
      <c r="F62" s="44">
        <f>E62*13</f>
        <v>349912.76666666666</v>
      </c>
      <c r="G62" s="35">
        <v>2</v>
      </c>
      <c r="H62" s="64">
        <f>C62/30*2*0.8</f>
        <v>43066.186666666668</v>
      </c>
      <c r="I62" s="64">
        <f>C62/30*2*0.2</f>
        <v>10766.546666666667</v>
      </c>
      <c r="J62" s="12">
        <v>44994</v>
      </c>
      <c r="K62" s="12">
        <v>44995</v>
      </c>
      <c r="L62" s="5" t="s">
        <v>104</v>
      </c>
      <c r="M62" s="5" t="s">
        <v>107</v>
      </c>
    </row>
    <row r="63" spans="1:13" x14ac:dyDescent="0.35">
      <c r="A63" s="1">
        <v>44987</v>
      </c>
      <c r="B63" s="43" t="s">
        <v>103</v>
      </c>
      <c r="C63" s="44">
        <v>1598068</v>
      </c>
      <c r="D63" s="44">
        <f t="shared" ref="D63" si="27">C63/2</f>
        <v>799034</v>
      </c>
      <c r="E63" s="44">
        <f t="shared" ref="E63" si="28">C63/30</f>
        <v>53268.933333333334</v>
      </c>
      <c r="F63" s="44">
        <f>E63*13</f>
        <v>692496.1333333333</v>
      </c>
      <c r="G63" s="35">
        <v>2</v>
      </c>
      <c r="H63" s="64">
        <f>C63/30*2*0.2</f>
        <v>21307.573333333334</v>
      </c>
      <c r="I63" s="64">
        <f>C63/30*2*0.8</f>
        <v>85230.293333333335</v>
      </c>
      <c r="J63" s="12">
        <v>44994</v>
      </c>
      <c r="K63" s="12">
        <v>44995</v>
      </c>
      <c r="L63" s="5" t="s">
        <v>105</v>
      </c>
      <c r="M63" s="5" t="s">
        <v>106</v>
      </c>
    </row>
    <row r="64" spans="1:13" x14ac:dyDescent="0.35">
      <c r="A64" s="1">
        <v>44987</v>
      </c>
      <c r="B64" s="43" t="s">
        <v>113</v>
      </c>
      <c r="C64" s="44">
        <v>1678421</v>
      </c>
      <c r="D64" s="44">
        <f t="shared" ref="D64:D65" si="29">C64/2</f>
        <v>839210.5</v>
      </c>
      <c r="E64" s="44">
        <f t="shared" ref="E64:E65" si="30">C64/30</f>
        <v>55947.366666666669</v>
      </c>
      <c r="F64" s="44">
        <v>0</v>
      </c>
      <c r="G64" s="35">
        <v>1</v>
      </c>
      <c r="H64" s="65">
        <v>0</v>
      </c>
      <c r="I64" s="53">
        <v>0</v>
      </c>
      <c r="J64" s="12">
        <v>45002</v>
      </c>
      <c r="K64" s="12">
        <v>45002</v>
      </c>
      <c r="L64" s="5" t="s">
        <v>114</v>
      </c>
      <c r="M64" s="5" t="s">
        <v>34</v>
      </c>
    </row>
    <row r="65" spans="1:13" x14ac:dyDescent="0.35">
      <c r="A65" s="1">
        <v>44987</v>
      </c>
      <c r="B65" s="43" t="s">
        <v>113</v>
      </c>
      <c r="C65" s="44">
        <v>1678421</v>
      </c>
      <c r="D65" s="44">
        <f t="shared" si="29"/>
        <v>839210.5</v>
      </c>
      <c r="E65" s="44">
        <f t="shared" si="30"/>
        <v>55947.366666666669</v>
      </c>
      <c r="F65" s="44">
        <f>E65*10</f>
        <v>559473.66666666674</v>
      </c>
      <c r="G65" s="35">
        <v>4</v>
      </c>
      <c r="H65" s="64">
        <f>F65/30*3*0.2+C65/30*2*0.8</f>
        <v>100705.26000000001</v>
      </c>
      <c r="I65" s="53">
        <f>C65/30*3*0.8+C65/30*2*0.2</f>
        <v>156652.62666666671</v>
      </c>
      <c r="J65" s="12">
        <v>45005</v>
      </c>
      <c r="K65" s="12">
        <v>45008</v>
      </c>
      <c r="L65" s="5" t="s">
        <v>115</v>
      </c>
      <c r="M65" s="5" t="s">
        <v>34</v>
      </c>
    </row>
    <row r="66" spans="1:13" x14ac:dyDescent="0.35">
      <c r="A66" s="1">
        <v>44987</v>
      </c>
      <c r="B66" s="43" t="s">
        <v>100</v>
      </c>
      <c r="C66" s="44">
        <v>435000</v>
      </c>
      <c r="D66" s="44">
        <f>C66/2</f>
        <v>217500</v>
      </c>
      <c r="E66" s="44">
        <f>C66/30</f>
        <v>14500</v>
      </c>
      <c r="F66" s="44">
        <f>E66*14</f>
        <v>203000</v>
      </c>
      <c r="G66" s="35">
        <v>1</v>
      </c>
      <c r="H66" s="44">
        <f>C66/30*1*0.2</f>
        <v>2900</v>
      </c>
      <c r="I66" s="44">
        <f>C66/30*1*0.8</f>
        <v>11600</v>
      </c>
      <c r="J66" s="12">
        <v>44993</v>
      </c>
      <c r="K66" s="12">
        <v>44993</v>
      </c>
      <c r="L66" s="5" t="s">
        <v>102</v>
      </c>
      <c r="M66" s="5" t="s">
        <v>101</v>
      </c>
    </row>
    <row r="67" spans="1:13" x14ac:dyDescent="0.35">
      <c r="A67" s="1">
        <v>44987</v>
      </c>
      <c r="B67" s="43" t="s">
        <v>111</v>
      </c>
      <c r="C67" s="44">
        <v>1780595</v>
      </c>
      <c r="D67" s="44">
        <f>C67/2</f>
        <v>890297.5</v>
      </c>
      <c r="E67" s="44">
        <f>C67/30</f>
        <v>59353.166666666664</v>
      </c>
      <c r="F67" s="44">
        <v>0</v>
      </c>
      <c r="G67" s="35">
        <v>15</v>
      </c>
      <c r="H67" s="44">
        <f>C67/30*3*0.2+C67/30*11*0.8</f>
        <v>557919.7666666666</v>
      </c>
      <c r="I67" s="44">
        <f>C67/30*3*0.8+C67/30*11*0.2</f>
        <v>273024.56666666665</v>
      </c>
      <c r="J67" s="12">
        <v>45002</v>
      </c>
      <c r="K67" s="12">
        <v>45023</v>
      </c>
      <c r="L67" s="5" t="s">
        <v>112</v>
      </c>
      <c r="M67" s="5" t="s">
        <v>29</v>
      </c>
    </row>
    <row r="68" spans="1:13" x14ac:dyDescent="0.35">
      <c r="A68" s="1">
        <v>44987</v>
      </c>
      <c r="B68" s="43" t="s">
        <v>69</v>
      </c>
      <c r="C68" s="44">
        <v>339955</v>
      </c>
      <c r="D68" s="44">
        <f t="shared" ref="D68:D69" si="31">C68/2</f>
        <v>169977.5</v>
      </c>
      <c r="E68" s="44">
        <f t="shared" ref="E68:E69" si="32">C68/30</f>
        <v>11331.833333333334</v>
      </c>
      <c r="F68" s="44">
        <f>E68*14</f>
        <v>158645.66666666669</v>
      </c>
      <c r="G68" s="35">
        <v>1</v>
      </c>
      <c r="H68" s="44">
        <f>C68/30*1*0.8</f>
        <v>9065.4666666666672</v>
      </c>
      <c r="I68" s="53">
        <f>C68/30*1*0.2</f>
        <v>2266.3666666666668</v>
      </c>
      <c r="J68" s="12">
        <v>44995</v>
      </c>
      <c r="K68" s="12">
        <v>44995</v>
      </c>
      <c r="L68" s="5" t="s">
        <v>108</v>
      </c>
      <c r="M68" s="5" t="s">
        <v>34</v>
      </c>
    </row>
    <row r="69" spans="1:13" x14ac:dyDescent="0.35">
      <c r="A69" s="1">
        <v>44987</v>
      </c>
      <c r="B69" s="43" t="s">
        <v>116</v>
      </c>
      <c r="C69" s="44">
        <v>1517963.5</v>
      </c>
      <c r="D69" s="44">
        <f t="shared" si="31"/>
        <v>758981.75</v>
      </c>
      <c r="E69" s="44">
        <f t="shared" si="32"/>
        <v>50598.783333333333</v>
      </c>
      <c r="F69" s="44">
        <f>E69*12</f>
        <v>607185.4</v>
      </c>
      <c r="G69" s="35">
        <v>3</v>
      </c>
      <c r="H69" s="44">
        <f>C69/30*3*0.2</f>
        <v>30359.270000000004</v>
      </c>
      <c r="I69" s="53">
        <f>C69/30*3*0.8</f>
        <v>121437.08000000002</v>
      </c>
      <c r="J69" s="12">
        <v>45007</v>
      </c>
      <c r="K69" s="12">
        <v>45009</v>
      </c>
      <c r="L69" s="5" t="s">
        <v>117</v>
      </c>
      <c r="M69" s="5" t="s">
        <v>34</v>
      </c>
    </row>
    <row r="70" spans="1:13" x14ac:dyDescent="0.35">
      <c r="A70" s="1">
        <v>44987</v>
      </c>
      <c r="B70" s="43" t="s">
        <v>59</v>
      </c>
      <c r="C70" s="44">
        <v>1194377</v>
      </c>
      <c r="D70" s="44">
        <f t="shared" ref="D70" si="33">C70/2</f>
        <v>597188.5</v>
      </c>
      <c r="E70" s="44">
        <f t="shared" ref="E70" si="34">C70/30</f>
        <v>39812.566666666666</v>
      </c>
      <c r="F70" s="44">
        <f>D70/2</f>
        <v>298594.25</v>
      </c>
      <c r="G70" s="35">
        <v>15</v>
      </c>
      <c r="H70" s="44">
        <f>D70/2</f>
        <v>298594.25</v>
      </c>
      <c r="I70" s="67">
        <v>0</v>
      </c>
      <c r="J70" s="12">
        <v>44957</v>
      </c>
      <c r="K70" s="12">
        <v>45076</v>
      </c>
      <c r="L70" s="5" t="s">
        <v>60</v>
      </c>
      <c r="M70" s="56" t="s">
        <v>61</v>
      </c>
    </row>
    <row r="71" spans="1:13" x14ac:dyDescent="0.35">
      <c r="A71" s="1"/>
      <c r="C71" s="13"/>
      <c r="D71" s="13"/>
      <c r="E71" s="13"/>
      <c r="F71" s="13"/>
      <c r="G71" s="36">
        <f>SUM(G61:G70)</f>
        <v>49</v>
      </c>
      <c r="H71" s="44">
        <f>SUM(H61:H70)</f>
        <v>1206062.1200000001</v>
      </c>
      <c r="I71" s="67">
        <f>SUM(I61:I70)</f>
        <v>841888.46666666679</v>
      </c>
      <c r="J71" s="14"/>
      <c r="K71" s="14"/>
    </row>
    <row r="72" spans="1:13" x14ac:dyDescent="0.35">
      <c r="A72" s="1"/>
      <c r="B72" s="60" t="s">
        <v>37</v>
      </c>
      <c r="C72" s="13"/>
      <c r="D72" s="13"/>
      <c r="E72" s="13"/>
      <c r="F72" s="13"/>
      <c r="H72" s="68">
        <f>H58+H71</f>
        <v>3894207.9666666668</v>
      </c>
      <c r="I72" s="67"/>
      <c r="J72" s="14"/>
      <c r="K72" s="14"/>
    </row>
    <row r="73" spans="1:13" x14ac:dyDescent="0.35">
      <c r="A73" s="1"/>
      <c r="B73" s="61" t="s">
        <v>50</v>
      </c>
      <c r="C73" s="13"/>
      <c r="D73" s="13"/>
      <c r="E73" s="13"/>
      <c r="F73" s="13"/>
      <c r="H73" s="68">
        <f>H59+I71</f>
        <v>2477639.9900000002</v>
      </c>
      <c r="I73" s="66">
        <f>I59-I71</f>
        <v>22522360.009999998</v>
      </c>
      <c r="J73" s="14"/>
      <c r="K73" s="14"/>
    </row>
    <row r="74" spans="1:13" s="45" customFormat="1" x14ac:dyDescent="0.35"/>
    <row r="75" spans="1:13" x14ac:dyDescent="0.35">
      <c r="A75" s="1">
        <v>45017</v>
      </c>
      <c r="B75" s="43" t="s">
        <v>133</v>
      </c>
      <c r="C75" s="44">
        <v>807401</v>
      </c>
      <c r="D75" s="44">
        <f t="shared" ref="D75:D80" si="35">C75/2</f>
        <v>403700.5</v>
      </c>
      <c r="E75" s="44">
        <f t="shared" ref="E75:E80" si="36">C75/30</f>
        <v>26913.366666666665</v>
      </c>
      <c r="F75" s="44">
        <f>E75*14</f>
        <v>376787.1333333333</v>
      </c>
      <c r="G75" s="35">
        <v>1</v>
      </c>
      <c r="H75" s="44">
        <f>C75/30*1*0.8</f>
        <v>21530.693333333333</v>
      </c>
      <c r="I75" s="67">
        <f>C75/30*1*0.2</f>
        <v>5382.6733333333332</v>
      </c>
      <c r="J75" s="12">
        <v>45013</v>
      </c>
      <c r="K75" s="12">
        <v>45013</v>
      </c>
      <c r="L75" s="5" t="s">
        <v>129</v>
      </c>
      <c r="M75" s="5" t="s">
        <v>34</v>
      </c>
    </row>
    <row r="76" spans="1:13" x14ac:dyDescent="0.35">
      <c r="A76" s="1">
        <v>45017</v>
      </c>
      <c r="B76" s="43" t="s">
        <v>134</v>
      </c>
      <c r="C76" s="44">
        <v>307504</v>
      </c>
      <c r="D76" s="44">
        <f t="shared" si="35"/>
        <v>153752</v>
      </c>
      <c r="E76" s="44">
        <f t="shared" si="36"/>
        <v>10250.133333333333</v>
      </c>
      <c r="F76" s="44">
        <f>E76*10</f>
        <v>102501.33333333333</v>
      </c>
      <c r="G76" s="35">
        <v>2</v>
      </c>
      <c r="H76" s="44">
        <f>C76/30*2*0.2</f>
        <v>4100.0533333333333</v>
      </c>
      <c r="I76" s="44">
        <f>C76/30*2*0.8</f>
        <v>16400.213333333333</v>
      </c>
      <c r="J76" s="12">
        <v>45012</v>
      </c>
      <c r="K76" s="12">
        <v>45013</v>
      </c>
      <c r="L76" s="5" t="s">
        <v>135</v>
      </c>
      <c r="M76" s="5" t="s">
        <v>47</v>
      </c>
    </row>
    <row r="77" spans="1:13" x14ac:dyDescent="0.35">
      <c r="A77" s="1">
        <v>45017</v>
      </c>
      <c r="B77" s="43" t="s">
        <v>136</v>
      </c>
      <c r="C77" s="44">
        <v>802945</v>
      </c>
      <c r="D77" s="44">
        <f t="shared" si="35"/>
        <v>401472.5</v>
      </c>
      <c r="E77" s="44">
        <f t="shared" si="36"/>
        <v>26764.833333333332</v>
      </c>
      <c r="F77" s="44">
        <f>E77*14</f>
        <v>374707.66666666663</v>
      </c>
      <c r="G77" s="35">
        <v>1</v>
      </c>
      <c r="H77" s="44">
        <f>C77/30*1*0.2</f>
        <v>5352.9666666666672</v>
      </c>
      <c r="I77" s="44">
        <f>C77/30*1*0.8</f>
        <v>21411.866666666669</v>
      </c>
      <c r="J77" s="12">
        <v>45015</v>
      </c>
      <c r="K77" s="12">
        <v>45015</v>
      </c>
      <c r="L77" s="5" t="s">
        <v>137</v>
      </c>
      <c r="M77" s="5" t="s">
        <v>34</v>
      </c>
    </row>
    <row r="78" spans="1:13" x14ac:dyDescent="0.35">
      <c r="A78" s="1">
        <v>45017</v>
      </c>
      <c r="B78" s="43" t="s">
        <v>120</v>
      </c>
      <c r="C78" s="44">
        <v>462686</v>
      </c>
      <c r="D78" s="44">
        <f t="shared" si="35"/>
        <v>231343</v>
      </c>
      <c r="E78" s="44">
        <f t="shared" si="36"/>
        <v>15422.866666666667</v>
      </c>
      <c r="F78" s="44">
        <f>E78*7</f>
        <v>107960.06666666667</v>
      </c>
      <c r="G78" s="35">
        <v>8</v>
      </c>
      <c r="H78" s="44">
        <f>C78/30*3*0.2+C78/30*5*0.8</f>
        <v>70945.186666666661</v>
      </c>
      <c r="I78" s="53">
        <f>C78/30*3*0.8+C78/30*5*0.2</f>
        <v>52437.746666666666</v>
      </c>
      <c r="J78" s="12">
        <v>45006</v>
      </c>
      <c r="K78" s="12">
        <v>45013</v>
      </c>
      <c r="L78" s="5" t="s">
        <v>121</v>
      </c>
      <c r="M78" s="5" t="s">
        <v>122</v>
      </c>
    </row>
    <row r="79" spans="1:13" x14ac:dyDescent="0.35">
      <c r="A79" s="1">
        <v>45017</v>
      </c>
      <c r="B79" s="43" t="s">
        <v>138</v>
      </c>
      <c r="C79" s="44">
        <v>1155808</v>
      </c>
      <c r="D79" s="44">
        <f t="shared" si="35"/>
        <v>577904</v>
      </c>
      <c r="E79" s="44">
        <f t="shared" si="36"/>
        <v>38526.933333333334</v>
      </c>
      <c r="F79" s="44">
        <f>E79*12</f>
        <v>462323.20000000001</v>
      </c>
      <c r="G79" s="35">
        <v>3</v>
      </c>
      <c r="H79" s="44">
        <f>C79/30*3*0.2</f>
        <v>23116.160000000003</v>
      </c>
      <c r="I79" s="53">
        <f>C79/30*3*0.8</f>
        <v>92464.640000000014</v>
      </c>
      <c r="J79" s="12">
        <v>45007</v>
      </c>
      <c r="K79" s="12">
        <v>45009</v>
      </c>
      <c r="L79" s="5" t="s">
        <v>118</v>
      </c>
      <c r="M79" s="5" t="s">
        <v>119</v>
      </c>
    </row>
    <row r="80" spans="1:13" x14ac:dyDescent="0.35">
      <c r="A80" s="1">
        <v>45017</v>
      </c>
      <c r="B80" s="43" t="s">
        <v>111</v>
      </c>
      <c r="C80" s="44">
        <v>1780595</v>
      </c>
      <c r="D80" s="44">
        <f t="shared" si="35"/>
        <v>890297.5</v>
      </c>
      <c r="E80" s="44">
        <f t="shared" si="36"/>
        <v>59353.166666666664</v>
      </c>
      <c r="F80" s="44">
        <f>E80*1</f>
        <v>59353.166666666664</v>
      </c>
      <c r="G80" s="35">
        <v>15</v>
      </c>
      <c r="H80" s="44">
        <f>C80/30*3*0.2+C80/30*11*0.8</f>
        <v>557919.7666666666</v>
      </c>
      <c r="I80" s="44">
        <f>C80/30*3*0.8+C80/30*11*0.2</f>
        <v>273024.56666666665</v>
      </c>
      <c r="J80" s="12">
        <v>45002</v>
      </c>
      <c r="K80" s="12">
        <v>45023</v>
      </c>
      <c r="L80" s="5" t="s">
        <v>112</v>
      </c>
      <c r="M80" s="5" t="s">
        <v>29</v>
      </c>
    </row>
    <row r="81" spans="1:13" x14ac:dyDescent="0.35">
      <c r="A81" s="1">
        <v>45017</v>
      </c>
      <c r="B81" s="43" t="s">
        <v>123</v>
      </c>
      <c r="C81" s="44">
        <v>0</v>
      </c>
      <c r="D81" s="44">
        <v>0</v>
      </c>
      <c r="E81" s="44">
        <v>0</v>
      </c>
      <c r="F81" s="44">
        <v>0</v>
      </c>
      <c r="G81" s="35">
        <v>1</v>
      </c>
      <c r="H81" s="44">
        <v>0</v>
      </c>
      <c r="I81" s="53">
        <v>0</v>
      </c>
      <c r="J81" s="12">
        <v>45006</v>
      </c>
      <c r="K81" s="12">
        <v>45006</v>
      </c>
      <c r="L81" s="5" t="s">
        <v>124</v>
      </c>
      <c r="M81" s="5" t="s">
        <v>29</v>
      </c>
    </row>
    <row r="82" spans="1:13" x14ac:dyDescent="0.35">
      <c r="A82" s="1">
        <v>45017</v>
      </c>
      <c r="B82" s="43" t="s">
        <v>123</v>
      </c>
      <c r="C82" s="44">
        <v>1644963.5</v>
      </c>
      <c r="D82" s="44">
        <f>C82/2</f>
        <v>822481.75</v>
      </c>
      <c r="E82" s="44">
        <f>C82/30</f>
        <v>54832.116666666669</v>
      </c>
      <c r="F82" s="44">
        <v>0</v>
      </c>
      <c r="G82" s="35">
        <v>16</v>
      </c>
      <c r="H82" s="44">
        <f>C82/30*3*0.2+C82/30*12*0.8</f>
        <v>559287.59000000008</v>
      </c>
      <c r="I82" s="53">
        <f>C82/30*4*0.8+C82/30*11*0.2</f>
        <v>296093.43000000005</v>
      </c>
      <c r="J82" s="12">
        <v>45007</v>
      </c>
      <c r="K82" s="12">
        <v>45022</v>
      </c>
      <c r="L82" s="5" t="s">
        <v>125</v>
      </c>
      <c r="M82" s="5" t="s">
        <v>29</v>
      </c>
    </row>
    <row r="83" spans="1:13" x14ac:dyDescent="0.35">
      <c r="A83" s="1">
        <v>45017</v>
      </c>
      <c r="B83" s="43" t="s">
        <v>87</v>
      </c>
      <c r="C83" s="44">
        <v>1440124.5</v>
      </c>
      <c r="D83" s="44">
        <f>C83/2</f>
        <v>720062.25</v>
      </c>
      <c r="E83" s="44">
        <f>C83/30</f>
        <v>48004.15</v>
      </c>
      <c r="F83" s="44">
        <f>E83*12</f>
        <v>576049.80000000005</v>
      </c>
      <c r="G83" s="35">
        <v>3</v>
      </c>
      <c r="H83" s="44">
        <f>C83/30*3*0.8</f>
        <v>115209.96000000002</v>
      </c>
      <c r="I83" s="53">
        <f>C83/30*3*0.2</f>
        <v>28802.490000000005</v>
      </c>
      <c r="J83" s="12">
        <v>45014</v>
      </c>
      <c r="K83" s="12">
        <v>45016</v>
      </c>
      <c r="L83" s="5" t="s">
        <v>132</v>
      </c>
      <c r="M83" s="5" t="s">
        <v>34</v>
      </c>
    </row>
    <row r="84" spans="1:13" x14ac:dyDescent="0.35">
      <c r="A84" s="1">
        <v>45017</v>
      </c>
      <c r="B84" s="43" t="s">
        <v>126</v>
      </c>
      <c r="C84" s="44">
        <v>920731</v>
      </c>
      <c r="D84" s="44">
        <f>C84/2</f>
        <v>460365.5</v>
      </c>
      <c r="E84" s="44">
        <f>C84/30</f>
        <v>30691.033333333333</v>
      </c>
      <c r="F84" s="44">
        <f>E84*14</f>
        <v>429674.46666666667</v>
      </c>
      <c r="G84" s="35">
        <v>1</v>
      </c>
      <c r="H84" s="44">
        <f>C84/30*1*0.2</f>
        <v>6138.2066666666669</v>
      </c>
      <c r="I84" s="53">
        <f>C84/30*1*0.8</f>
        <v>24552.826666666668</v>
      </c>
      <c r="J84" s="12">
        <v>45009</v>
      </c>
      <c r="K84" s="12">
        <v>45009</v>
      </c>
      <c r="L84" s="5" t="s">
        <v>127</v>
      </c>
      <c r="M84" s="5" t="s">
        <v>128</v>
      </c>
    </row>
    <row r="85" spans="1:13" x14ac:dyDescent="0.35">
      <c r="A85" s="1">
        <v>45017</v>
      </c>
      <c r="B85" s="43" t="s">
        <v>130</v>
      </c>
      <c r="C85" s="44">
        <v>1526102.5</v>
      </c>
      <c r="D85" s="44">
        <f>C85/2</f>
        <v>763051.25</v>
      </c>
      <c r="E85" s="44">
        <f>C85/30</f>
        <v>50870.083333333336</v>
      </c>
      <c r="F85" s="44">
        <f>E85*14</f>
        <v>712181.16666666674</v>
      </c>
      <c r="G85" s="35">
        <v>1</v>
      </c>
      <c r="H85" s="44">
        <f>C85/30*1*0.2</f>
        <v>10174.016666666668</v>
      </c>
      <c r="I85" s="53">
        <f>C85/30*1*0.8</f>
        <v>40696.066666666673</v>
      </c>
      <c r="J85" s="12">
        <v>45014</v>
      </c>
      <c r="K85" s="12">
        <v>45014</v>
      </c>
      <c r="L85" s="5" t="s">
        <v>131</v>
      </c>
      <c r="M85" s="5" t="s">
        <v>34</v>
      </c>
    </row>
    <row r="86" spans="1:13" x14ac:dyDescent="0.35">
      <c r="A86" s="1">
        <v>45017</v>
      </c>
      <c r="B86" s="43" t="s">
        <v>59</v>
      </c>
      <c r="C86" s="44">
        <v>1194377</v>
      </c>
      <c r="D86" s="44">
        <f t="shared" ref="D86" si="37">C86/2</f>
        <v>597188.5</v>
      </c>
      <c r="E86" s="44">
        <f t="shared" ref="E86" si="38">C86/30</f>
        <v>39812.566666666666</v>
      </c>
      <c r="F86" s="44">
        <f>D86/2</f>
        <v>298594.25</v>
      </c>
      <c r="G86" s="35">
        <v>15</v>
      </c>
      <c r="H86" s="44">
        <f>D86/2</f>
        <v>298594.25</v>
      </c>
      <c r="I86" s="67">
        <v>0</v>
      </c>
      <c r="J86" s="12">
        <v>44957</v>
      </c>
      <c r="K86" s="12">
        <v>45076</v>
      </c>
      <c r="L86" s="5" t="s">
        <v>60</v>
      </c>
      <c r="M86" s="56" t="s">
        <v>61</v>
      </c>
    </row>
    <row r="87" spans="1:13" x14ac:dyDescent="0.35">
      <c r="A87" s="1"/>
      <c r="C87" s="13"/>
      <c r="D87" s="13"/>
      <c r="E87" s="13"/>
      <c r="F87" s="13"/>
      <c r="G87" s="36">
        <f>SUM(G75:G86)</f>
        <v>67</v>
      </c>
      <c r="H87" s="63">
        <f>SUM(H75:H86)</f>
        <v>1672368.85</v>
      </c>
      <c r="I87" s="31">
        <f>SUM(I75:I86)</f>
        <v>851266.52</v>
      </c>
      <c r="J87" s="14"/>
    </row>
    <row r="88" spans="1:13" x14ac:dyDescent="0.35">
      <c r="A88" s="1"/>
      <c r="B88" s="60" t="s">
        <v>37</v>
      </c>
      <c r="C88" s="13"/>
      <c r="D88" s="13"/>
      <c r="E88" s="13"/>
      <c r="F88" s="13"/>
      <c r="H88" s="68">
        <f>H72+H87</f>
        <v>5566576.8166666664</v>
      </c>
      <c r="I88" s="66"/>
      <c r="J88" s="14"/>
    </row>
    <row r="89" spans="1:13" x14ac:dyDescent="0.35">
      <c r="A89" s="1"/>
      <c r="B89" s="61" t="s">
        <v>50</v>
      </c>
      <c r="C89" s="13"/>
      <c r="D89" s="13"/>
      <c r="E89" s="13"/>
      <c r="F89" s="13"/>
      <c r="H89" s="68">
        <f>H73+I87</f>
        <v>3328906.5100000002</v>
      </c>
      <c r="I89" s="66">
        <f>I73-I87</f>
        <v>21671093.489999998</v>
      </c>
      <c r="J89" s="14"/>
    </row>
    <row r="90" spans="1:13" s="45" customFormat="1" x14ac:dyDescent="0.35"/>
    <row r="91" spans="1:13" x14ac:dyDescent="0.35">
      <c r="A91" s="1">
        <v>45018</v>
      </c>
      <c r="B91" s="43" t="s">
        <v>141</v>
      </c>
      <c r="C91" s="44">
        <v>735196</v>
      </c>
      <c r="D91" s="44">
        <f>C91/2</f>
        <v>367598</v>
      </c>
      <c r="E91" s="44">
        <f>C91/30</f>
        <v>24506.533333333333</v>
      </c>
      <c r="F91" s="44">
        <v>0</v>
      </c>
      <c r="G91" s="35">
        <v>15</v>
      </c>
      <c r="H91" s="44">
        <f>C91/30*3*0.2+C91/30*12*0.8</f>
        <v>249966.64000000004</v>
      </c>
      <c r="I91" s="53">
        <f>C91/30*3*0.8+C91/30*12*0.2</f>
        <v>117631.36000000002</v>
      </c>
      <c r="J91" s="12">
        <v>45016</v>
      </c>
      <c r="K91" s="12">
        <v>45045</v>
      </c>
      <c r="L91" s="5" t="s">
        <v>142</v>
      </c>
      <c r="M91" s="5" t="s">
        <v>143</v>
      </c>
    </row>
    <row r="92" spans="1:13" x14ac:dyDescent="0.35">
      <c r="A92" s="1">
        <v>45018</v>
      </c>
      <c r="B92" s="43" t="s">
        <v>179</v>
      </c>
      <c r="C92" s="44">
        <v>713446</v>
      </c>
      <c r="D92" s="44">
        <f>C92/2</f>
        <v>356723</v>
      </c>
      <c r="E92" s="44">
        <f>C92/30</f>
        <v>23781.533333333333</v>
      </c>
      <c r="F92" s="44">
        <f>E92*11</f>
        <v>261596.86666666667</v>
      </c>
      <c r="G92" s="35">
        <v>4</v>
      </c>
      <c r="H92" s="44">
        <f>C92/30*3*0.2+C92/30*1*0.8</f>
        <v>33294.146666666667</v>
      </c>
      <c r="I92" s="53">
        <f>C92/30*3*0.8+C92/30*1*0.2</f>
        <v>61831.986666666671</v>
      </c>
      <c r="J92" s="12">
        <v>45034</v>
      </c>
      <c r="K92" s="12">
        <v>45037</v>
      </c>
      <c r="L92" s="5" t="s">
        <v>145</v>
      </c>
      <c r="M92" s="5" t="s">
        <v>34</v>
      </c>
    </row>
    <row r="93" spans="1:13" x14ac:dyDescent="0.35">
      <c r="A93" s="1">
        <v>45018</v>
      </c>
      <c r="B93" s="43" t="s">
        <v>144</v>
      </c>
      <c r="C93" s="44">
        <v>2129257</v>
      </c>
      <c r="D93" s="44">
        <f>C93/2</f>
        <v>1064628.5</v>
      </c>
      <c r="E93" s="44">
        <f>C93/30</f>
        <v>70975.233333333337</v>
      </c>
      <c r="F93" s="44">
        <f>E93*14</f>
        <v>993653.26666666672</v>
      </c>
      <c r="G93" s="35">
        <v>1</v>
      </c>
      <c r="H93" s="44">
        <f>C93/30*1*0.2</f>
        <v>14195.046666666669</v>
      </c>
      <c r="I93" s="53">
        <f>C93/30*1*0.8</f>
        <v>56780.186666666676</v>
      </c>
      <c r="J93" s="12">
        <v>45035</v>
      </c>
      <c r="K93" s="12">
        <v>45034</v>
      </c>
      <c r="L93" s="5" t="s">
        <v>146</v>
      </c>
      <c r="M93" s="5" t="s">
        <v>34</v>
      </c>
    </row>
    <row r="94" spans="1:13" x14ac:dyDescent="0.35">
      <c r="A94" s="1">
        <v>45018</v>
      </c>
      <c r="B94" s="43" t="s">
        <v>138</v>
      </c>
      <c r="C94" s="44">
        <v>1155808</v>
      </c>
      <c r="D94" s="44">
        <f t="shared" ref="D94" si="39">C94/2</f>
        <v>577904</v>
      </c>
      <c r="E94" s="44">
        <f t="shared" ref="E94" si="40">C94/30</f>
        <v>38526.933333333334</v>
      </c>
      <c r="F94" s="44">
        <f>E94*13</f>
        <v>500850.13333333336</v>
      </c>
      <c r="G94" s="35">
        <v>2</v>
      </c>
      <c r="H94" s="44">
        <f>C94/30*2*0.8</f>
        <v>61643.093333333338</v>
      </c>
      <c r="I94" s="53">
        <f>C94/30*2*0.2</f>
        <v>15410.773333333334</v>
      </c>
      <c r="J94" s="12">
        <v>45019</v>
      </c>
      <c r="K94" s="12">
        <v>45020</v>
      </c>
      <c r="L94" s="5" t="s">
        <v>139</v>
      </c>
      <c r="M94" s="5" t="s">
        <v>140</v>
      </c>
    </row>
    <row r="95" spans="1:13" x14ac:dyDescent="0.35">
      <c r="A95" s="1">
        <v>45018</v>
      </c>
      <c r="B95" s="43" t="s">
        <v>123</v>
      </c>
      <c r="C95" s="44">
        <v>1644963.5</v>
      </c>
      <c r="D95" s="44">
        <f t="shared" ref="D95:D99" si="41">C95/2</f>
        <v>822481.75</v>
      </c>
      <c r="E95" s="44">
        <f t="shared" ref="E95:E99" si="42">C95/30</f>
        <v>54832.116666666669</v>
      </c>
      <c r="F95" s="44">
        <f>E95*13</f>
        <v>712817.51666666672</v>
      </c>
      <c r="G95" s="35">
        <v>2</v>
      </c>
      <c r="H95" s="44">
        <f>C95/30*2*0.8</f>
        <v>87731.386666666673</v>
      </c>
      <c r="I95" s="53">
        <f>C95/30*2*0.2</f>
        <v>21932.846666666668</v>
      </c>
      <c r="J95" s="12">
        <v>45007</v>
      </c>
      <c r="K95" s="12">
        <v>45022</v>
      </c>
      <c r="L95" s="5" t="s">
        <v>125</v>
      </c>
      <c r="M95" s="5"/>
    </row>
    <row r="96" spans="1:13" x14ac:dyDescent="0.35">
      <c r="A96" s="71">
        <v>45018</v>
      </c>
      <c r="B96" s="72" t="s">
        <v>147</v>
      </c>
      <c r="C96" s="73">
        <v>1627278.5</v>
      </c>
      <c r="D96" s="73">
        <f t="shared" si="41"/>
        <v>813639.25</v>
      </c>
      <c r="E96" s="73">
        <f t="shared" si="42"/>
        <v>54242.616666666669</v>
      </c>
      <c r="F96" s="73">
        <f>E96*12</f>
        <v>650911.4</v>
      </c>
      <c r="G96" s="74">
        <v>3</v>
      </c>
      <c r="H96" s="73">
        <f>C96/30*3*0.2</f>
        <v>32545.570000000003</v>
      </c>
      <c r="I96" s="75">
        <f>C96/30*3*0.8</f>
        <v>130182.28000000001</v>
      </c>
      <c r="J96" s="76">
        <v>45035</v>
      </c>
      <c r="K96" s="76">
        <v>45037</v>
      </c>
      <c r="L96" s="77" t="s">
        <v>148</v>
      </c>
      <c r="M96" s="77" t="s">
        <v>34</v>
      </c>
    </row>
    <row r="97" spans="1:13" x14ac:dyDescent="0.35">
      <c r="A97" s="1">
        <v>45018</v>
      </c>
      <c r="B97" s="72" t="s">
        <v>53</v>
      </c>
      <c r="C97" s="73">
        <v>435545</v>
      </c>
      <c r="D97" s="73">
        <f t="shared" si="41"/>
        <v>217772.5</v>
      </c>
      <c r="E97" s="73">
        <f t="shared" si="42"/>
        <v>14518.166666666666</v>
      </c>
      <c r="F97" s="73">
        <f>E97*13</f>
        <v>188736.16666666666</v>
      </c>
      <c r="G97" s="74">
        <v>2</v>
      </c>
      <c r="H97" s="73">
        <f>C97/30*2*0.2</f>
        <v>5807.2666666666664</v>
      </c>
      <c r="I97" s="75">
        <f>C97/30*2*0.8</f>
        <v>23229.066666666666</v>
      </c>
      <c r="J97" s="76">
        <v>45029</v>
      </c>
      <c r="K97" s="76">
        <v>45030</v>
      </c>
      <c r="L97" s="77" t="s">
        <v>152</v>
      </c>
      <c r="M97" s="77" t="s">
        <v>153</v>
      </c>
    </row>
    <row r="98" spans="1:13" s="4" customFormat="1" x14ac:dyDescent="0.35">
      <c r="A98" s="1">
        <v>45018</v>
      </c>
      <c r="B98" s="43" t="s">
        <v>150</v>
      </c>
      <c r="C98" s="44">
        <v>1814615.5</v>
      </c>
      <c r="D98" s="73">
        <f t="shared" si="41"/>
        <v>907307.75</v>
      </c>
      <c r="E98" s="73">
        <f t="shared" si="42"/>
        <v>60487.183333333334</v>
      </c>
      <c r="F98" s="73">
        <f>E98*12</f>
        <v>725846.2</v>
      </c>
      <c r="G98" s="74">
        <v>3</v>
      </c>
      <c r="H98" s="73">
        <f>C98/30*3*0.2</f>
        <v>36292.31</v>
      </c>
      <c r="I98" s="75">
        <f>C98/30*3*0.8</f>
        <v>145169.24</v>
      </c>
      <c r="J98" s="76">
        <v>45035</v>
      </c>
      <c r="K98" s="76">
        <v>45037</v>
      </c>
      <c r="L98" s="77" t="s">
        <v>151</v>
      </c>
      <c r="M98" s="77" t="s">
        <v>34</v>
      </c>
    </row>
    <row r="99" spans="1:13" x14ac:dyDescent="0.35">
      <c r="A99" s="1">
        <v>45018</v>
      </c>
      <c r="B99" s="43" t="s">
        <v>149</v>
      </c>
      <c r="C99" s="44">
        <v>475035</v>
      </c>
      <c r="D99" s="44">
        <f t="shared" si="41"/>
        <v>237517.5</v>
      </c>
      <c r="E99" s="44">
        <f t="shared" si="42"/>
        <v>15834.5</v>
      </c>
      <c r="F99" s="44">
        <v>0</v>
      </c>
      <c r="G99" s="35">
        <v>6</v>
      </c>
      <c r="H99" s="44">
        <f>C99/30*6*0.6</f>
        <v>57004.2</v>
      </c>
      <c r="I99" s="67">
        <f>C99/30*6*0.4</f>
        <v>38002.800000000003</v>
      </c>
      <c r="J99" s="12">
        <v>45028</v>
      </c>
      <c r="K99" s="12">
        <v>45033</v>
      </c>
      <c r="L99" s="5" t="s">
        <v>55</v>
      </c>
      <c r="M99" s="5" t="s">
        <v>56</v>
      </c>
    </row>
    <row r="100" spans="1:13" x14ac:dyDescent="0.35">
      <c r="A100" s="78">
        <f t="shared" ref="A100:B100" si="43">A99</f>
        <v>45018</v>
      </c>
      <c r="B100" s="69" t="str">
        <f t="shared" si="43"/>
        <v>Torres León María de Rocío</v>
      </c>
      <c r="C100" s="44">
        <v>0</v>
      </c>
      <c r="D100" s="44">
        <v>0</v>
      </c>
      <c r="E100" s="44">
        <v>0</v>
      </c>
      <c r="F100" s="44">
        <v>0</v>
      </c>
      <c r="G100" s="35">
        <v>4</v>
      </c>
      <c r="H100" s="44">
        <f>C99/30*4*0.6</f>
        <v>38002.799999999996</v>
      </c>
      <c r="I100" s="67">
        <f>C99/30*4*0.4</f>
        <v>25335.200000000001</v>
      </c>
      <c r="J100" s="12">
        <v>45034</v>
      </c>
      <c r="K100" s="12">
        <v>45054</v>
      </c>
      <c r="L100" s="5" t="s">
        <v>55</v>
      </c>
      <c r="M100" s="5" t="s">
        <v>56</v>
      </c>
    </row>
    <row r="101" spans="1:13" x14ac:dyDescent="0.35">
      <c r="A101" s="1">
        <v>45018</v>
      </c>
      <c r="B101" s="43" t="s">
        <v>149</v>
      </c>
      <c r="C101" s="44">
        <v>0</v>
      </c>
      <c r="D101" s="44">
        <v>0</v>
      </c>
      <c r="E101" s="44">
        <v>0</v>
      </c>
      <c r="F101" s="44">
        <v>0</v>
      </c>
      <c r="G101" s="35">
        <v>5</v>
      </c>
      <c r="H101" s="44">
        <v>68830.5</v>
      </c>
      <c r="I101" s="67">
        <v>10342</v>
      </c>
      <c r="J101" s="12">
        <v>45034</v>
      </c>
      <c r="K101" s="12">
        <v>45054</v>
      </c>
      <c r="L101" s="5" t="s">
        <v>55</v>
      </c>
      <c r="M101" s="5" t="s">
        <v>56</v>
      </c>
    </row>
    <row r="102" spans="1:13" x14ac:dyDescent="0.35">
      <c r="A102" s="1">
        <v>45018</v>
      </c>
      <c r="B102" s="43" t="s">
        <v>59</v>
      </c>
      <c r="C102" s="44">
        <v>1194377</v>
      </c>
      <c r="D102" s="44">
        <f t="shared" ref="D102" si="44">C102/2</f>
        <v>597188.5</v>
      </c>
      <c r="E102" s="44">
        <f t="shared" ref="E102" si="45">C102/30</f>
        <v>39812.566666666666</v>
      </c>
      <c r="F102" s="44">
        <f>D102/2</f>
        <v>298594.25</v>
      </c>
      <c r="G102" s="35">
        <v>15</v>
      </c>
      <c r="H102" s="44">
        <f>D102/2</f>
        <v>298594.25</v>
      </c>
      <c r="I102" s="67">
        <v>0</v>
      </c>
      <c r="J102" s="12">
        <v>44957</v>
      </c>
      <c r="K102" s="12">
        <v>45076</v>
      </c>
      <c r="L102" s="5" t="s">
        <v>60</v>
      </c>
      <c r="M102" s="56" t="s">
        <v>61</v>
      </c>
    </row>
    <row r="103" spans="1:13" x14ac:dyDescent="0.35">
      <c r="A103" s="1"/>
      <c r="C103" s="13"/>
      <c r="D103" s="13"/>
      <c r="E103" s="13"/>
      <c r="F103" s="13"/>
      <c r="G103" s="36">
        <f>SUM(G91:G102)</f>
        <v>62</v>
      </c>
      <c r="H103" s="44">
        <f>SUM(H91:H102)</f>
        <v>983907.21000000008</v>
      </c>
      <c r="I103" s="31">
        <f>SUM(I91:I102)</f>
        <v>645847.74</v>
      </c>
      <c r="J103" s="14"/>
    </row>
    <row r="104" spans="1:13" x14ac:dyDescent="0.35">
      <c r="A104" s="1"/>
      <c r="B104" s="60" t="s">
        <v>37</v>
      </c>
      <c r="C104" s="13"/>
      <c r="D104" s="13"/>
      <c r="E104" s="13"/>
      <c r="F104" s="13"/>
      <c r="H104" s="68">
        <f>H88+H103</f>
        <v>6550484.0266666664</v>
      </c>
      <c r="I104" s="66"/>
      <c r="J104" s="14"/>
    </row>
    <row r="105" spans="1:13" x14ac:dyDescent="0.35">
      <c r="A105" s="1"/>
      <c r="B105" s="61" t="s">
        <v>50</v>
      </c>
      <c r="C105" s="13"/>
      <c r="D105" s="13"/>
      <c r="E105" s="13"/>
      <c r="F105" s="13"/>
      <c r="H105" s="68">
        <f>H89+I103</f>
        <v>3974754.25</v>
      </c>
      <c r="I105" s="66">
        <f>I89-I103</f>
        <v>21025245.75</v>
      </c>
      <c r="J105" s="14"/>
    </row>
    <row r="106" spans="1:13" s="45" customFormat="1" x14ac:dyDescent="0.35"/>
    <row r="107" spans="1:13" s="70" customFormat="1" x14ac:dyDescent="0.35">
      <c r="A107" s="1">
        <v>45047</v>
      </c>
      <c r="B107" s="69" t="s">
        <v>133</v>
      </c>
      <c r="C107" s="44">
        <v>807401</v>
      </c>
      <c r="D107" s="44">
        <f>C107/2</f>
        <v>403700.5</v>
      </c>
      <c r="E107" s="44">
        <f>C107/30</f>
        <v>26913.366666666665</v>
      </c>
      <c r="F107" s="44">
        <f>E107*9</f>
        <v>242220.3</v>
      </c>
      <c r="G107" s="35">
        <v>3</v>
      </c>
      <c r="H107" s="44">
        <f>C107/30*6*0.8</f>
        <v>129184.15999999999</v>
      </c>
      <c r="I107" s="44">
        <f>C107/30*6*0.2</f>
        <v>32296.039999999997</v>
      </c>
      <c r="J107" s="12">
        <v>45040</v>
      </c>
      <c r="K107" s="12">
        <v>45042</v>
      </c>
      <c r="L107" s="79" t="s">
        <v>157</v>
      </c>
      <c r="M107" s="79" t="s">
        <v>34</v>
      </c>
    </row>
    <row r="108" spans="1:13" s="70" customFormat="1" x14ac:dyDescent="0.35">
      <c r="A108" s="1">
        <v>45047</v>
      </c>
      <c r="B108" s="69" t="s">
        <v>133</v>
      </c>
      <c r="C108" s="44">
        <v>0</v>
      </c>
      <c r="D108" s="44">
        <v>0</v>
      </c>
      <c r="E108" s="44">
        <v>0</v>
      </c>
      <c r="F108" s="44">
        <v>0</v>
      </c>
      <c r="G108" s="35">
        <v>3</v>
      </c>
      <c r="H108" s="44">
        <f>C108/30*3*0.8</f>
        <v>0</v>
      </c>
      <c r="I108" s="44">
        <f>C108/30*3*0.2</f>
        <v>0</v>
      </c>
      <c r="J108" s="12">
        <v>45048</v>
      </c>
      <c r="K108" s="12">
        <v>45050</v>
      </c>
      <c r="L108" s="79" t="s">
        <v>165</v>
      </c>
      <c r="M108" s="79" t="s">
        <v>166</v>
      </c>
    </row>
    <row r="109" spans="1:13" x14ac:dyDescent="0.35">
      <c r="A109" s="1">
        <v>45047</v>
      </c>
      <c r="B109" s="43" t="s">
        <v>141</v>
      </c>
      <c r="C109" s="44">
        <v>735196</v>
      </c>
      <c r="D109" s="44">
        <f>C109/2</f>
        <v>367598</v>
      </c>
      <c r="E109" s="44">
        <f>C109/30</f>
        <v>24506.533333333333</v>
      </c>
      <c r="F109" s="44">
        <v>0</v>
      </c>
      <c r="G109" s="35">
        <v>15</v>
      </c>
      <c r="H109" s="44">
        <f>C109/30*15*0.8</f>
        <v>294078.40000000002</v>
      </c>
      <c r="I109" s="53">
        <f>C109/30*15*0.2</f>
        <v>73519.600000000006</v>
      </c>
      <c r="J109" s="12">
        <v>45016</v>
      </c>
      <c r="K109" s="12">
        <v>45045</v>
      </c>
      <c r="L109" s="5" t="s">
        <v>142</v>
      </c>
      <c r="M109" s="5" t="s">
        <v>143</v>
      </c>
    </row>
    <row r="110" spans="1:13" x14ac:dyDescent="0.35">
      <c r="A110" s="1">
        <v>45047</v>
      </c>
      <c r="B110" s="43" t="s">
        <v>38</v>
      </c>
      <c r="C110" s="44">
        <v>0</v>
      </c>
      <c r="D110" s="44">
        <v>0</v>
      </c>
      <c r="E110" s="44">
        <v>0</v>
      </c>
      <c r="F110" s="44">
        <v>0</v>
      </c>
      <c r="G110" s="35">
        <v>1</v>
      </c>
      <c r="H110" s="44">
        <f>C112/30*1*0.2</f>
        <v>9258.0233333333344</v>
      </c>
      <c r="I110" s="53">
        <f>C112/30*1*0.8</f>
        <v>37032.093333333338</v>
      </c>
      <c r="J110" s="12">
        <v>44708</v>
      </c>
      <c r="K110" s="12">
        <v>44708</v>
      </c>
      <c r="L110" s="5" t="s">
        <v>159</v>
      </c>
      <c r="M110" s="5" t="s">
        <v>160</v>
      </c>
    </row>
    <row r="111" spans="1:13" x14ac:dyDescent="0.35">
      <c r="A111" s="1">
        <v>45047</v>
      </c>
      <c r="B111" s="43" t="s">
        <v>38</v>
      </c>
      <c r="C111" s="44">
        <v>0</v>
      </c>
      <c r="D111" s="44">
        <v>0</v>
      </c>
      <c r="E111" s="44">
        <v>0</v>
      </c>
      <c r="F111" s="44">
        <v>0</v>
      </c>
      <c r="G111" s="35">
        <v>2</v>
      </c>
      <c r="H111" s="44">
        <f>C112/30*2*0.2</f>
        <v>18516.046666666669</v>
      </c>
      <c r="I111" s="53">
        <f>C112/30*2*0.8</f>
        <v>74064.186666666676</v>
      </c>
      <c r="J111" s="12">
        <v>45040</v>
      </c>
      <c r="K111" s="12">
        <v>45044</v>
      </c>
      <c r="L111" s="5" t="s">
        <v>158</v>
      </c>
      <c r="M111" s="5" t="s">
        <v>160</v>
      </c>
    </row>
    <row r="112" spans="1:13" x14ac:dyDescent="0.35">
      <c r="A112" s="1">
        <v>45047</v>
      </c>
      <c r="B112" s="43" t="s">
        <v>38</v>
      </c>
      <c r="C112" s="44">
        <v>1388703.5</v>
      </c>
      <c r="D112" s="44">
        <f>C112/2</f>
        <v>694351.75</v>
      </c>
      <c r="E112" s="44">
        <f>C112/30</f>
        <v>46290.116666666669</v>
      </c>
      <c r="F112" s="44">
        <f>E112*4</f>
        <v>185160.46666666667</v>
      </c>
      <c r="G112" s="35">
        <v>3</v>
      </c>
      <c r="H112" s="44">
        <f>C112/30*3*0.2</f>
        <v>27774.070000000003</v>
      </c>
      <c r="I112" s="53">
        <f>C112/30*3*0.8</f>
        <v>111096.28000000001</v>
      </c>
      <c r="J112" s="12">
        <v>45035</v>
      </c>
      <c r="K112" s="12">
        <v>45037</v>
      </c>
      <c r="L112" s="5" t="s">
        <v>161</v>
      </c>
      <c r="M112" s="5" t="s">
        <v>212</v>
      </c>
    </row>
    <row r="113" spans="1:13" x14ac:dyDescent="0.35">
      <c r="A113" s="1">
        <v>45047</v>
      </c>
      <c r="B113" s="43" t="s">
        <v>38</v>
      </c>
      <c r="C113" s="44">
        <v>0</v>
      </c>
      <c r="D113" s="44">
        <v>0</v>
      </c>
      <c r="E113" s="44">
        <v>0</v>
      </c>
      <c r="F113" s="44">
        <v>0</v>
      </c>
      <c r="G113" s="35">
        <v>5</v>
      </c>
      <c r="H113" s="44">
        <f>C112/30*5*0.8</f>
        <v>185160.46666666667</v>
      </c>
      <c r="I113" s="53">
        <f>C112/30*5*0.2</f>
        <v>46290.116666666669</v>
      </c>
      <c r="J113" s="12">
        <v>45040</v>
      </c>
      <c r="K113" s="12">
        <v>45044</v>
      </c>
      <c r="L113" s="5" t="s">
        <v>158</v>
      </c>
      <c r="M113" s="5" t="s">
        <v>34</v>
      </c>
    </row>
    <row r="114" spans="1:13" x14ac:dyDescent="0.35">
      <c r="A114" s="1">
        <v>45047</v>
      </c>
      <c r="B114" s="43" t="s">
        <v>100</v>
      </c>
      <c r="C114" s="44">
        <v>435000</v>
      </c>
      <c r="D114" s="44">
        <f>C114/2</f>
        <v>217500</v>
      </c>
      <c r="E114" s="44">
        <f>C114/30</f>
        <v>14500</v>
      </c>
      <c r="F114" s="44">
        <f>E114*14</f>
        <v>203000</v>
      </c>
      <c r="G114" s="35">
        <v>1</v>
      </c>
      <c r="H114" s="44">
        <f>C114/30*1*0.2</f>
        <v>2900</v>
      </c>
      <c r="I114" s="53">
        <f>C114/30*1*0.8</f>
        <v>11600</v>
      </c>
      <c r="J114" s="12">
        <v>45037</v>
      </c>
      <c r="K114" s="12">
        <v>45037</v>
      </c>
      <c r="L114" s="5" t="s">
        <v>154</v>
      </c>
      <c r="M114" s="5" t="s">
        <v>155</v>
      </c>
    </row>
    <row r="115" spans="1:13" x14ac:dyDescent="0.35">
      <c r="A115" s="1">
        <v>45047</v>
      </c>
      <c r="B115" s="43" t="s">
        <v>120</v>
      </c>
      <c r="C115" s="44">
        <v>462686</v>
      </c>
      <c r="D115" s="44">
        <f t="shared" ref="D115" si="46">C115/2</f>
        <v>231343</v>
      </c>
      <c r="E115" s="44">
        <f t="shared" ref="E115" si="47">C115/30</f>
        <v>15422.866666666667</v>
      </c>
      <c r="F115" s="44">
        <f>E115*12</f>
        <v>185074.4</v>
      </c>
      <c r="G115" s="35">
        <v>3</v>
      </c>
      <c r="H115" s="44">
        <f>C115/30*3*0.2</f>
        <v>9253.7199999999993</v>
      </c>
      <c r="I115" s="44">
        <f>C115/30*3*0.8</f>
        <v>37014.879999999997</v>
      </c>
      <c r="J115" s="12">
        <v>45049</v>
      </c>
      <c r="K115" s="12">
        <v>45051</v>
      </c>
      <c r="L115" s="5" t="s">
        <v>169</v>
      </c>
      <c r="M115" s="5" t="s">
        <v>34</v>
      </c>
    </row>
    <row r="116" spans="1:13" x14ac:dyDescent="0.35">
      <c r="A116" s="1">
        <v>45047</v>
      </c>
      <c r="B116" s="43" t="s">
        <v>180</v>
      </c>
      <c r="C116" s="44">
        <v>435000</v>
      </c>
      <c r="D116" s="44">
        <f t="shared" ref="D116" si="48">C116/2</f>
        <v>217500</v>
      </c>
      <c r="E116" s="44">
        <f t="shared" ref="E116" si="49">C116/30</f>
        <v>14500</v>
      </c>
      <c r="F116" s="44">
        <f>E116*12</f>
        <v>174000</v>
      </c>
      <c r="G116" s="35">
        <v>3</v>
      </c>
      <c r="H116" s="44">
        <f>C116/30*3*0.2</f>
        <v>8700</v>
      </c>
      <c r="I116" s="44">
        <f>C116/30*3*0.8</f>
        <v>34800</v>
      </c>
      <c r="J116" s="12">
        <v>45049</v>
      </c>
      <c r="K116" s="12">
        <v>45051</v>
      </c>
      <c r="L116" s="5" t="s">
        <v>170</v>
      </c>
      <c r="M116" s="5" t="s">
        <v>34</v>
      </c>
    </row>
    <row r="117" spans="1:13" x14ac:dyDescent="0.35">
      <c r="A117" s="1">
        <v>45047</v>
      </c>
      <c r="B117" s="43" t="s">
        <v>144</v>
      </c>
      <c r="C117" s="44">
        <v>2129257</v>
      </c>
      <c r="D117" s="44">
        <f>C117/2</f>
        <v>1064628.5</v>
      </c>
      <c r="E117" s="44">
        <f>C117/30</f>
        <v>70975.233333333337</v>
      </c>
      <c r="F117" s="44">
        <f>E117*11</f>
        <v>780727.56666666665</v>
      </c>
      <c r="G117" s="35">
        <v>4</v>
      </c>
      <c r="H117" s="44">
        <f>C117/30*2*0.2+C117/30*2*0.8</f>
        <v>141950.46666666667</v>
      </c>
      <c r="I117" s="53">
        <f>C117/30*2*0.8+C117/30*2*0.2</f>
        <v>141950.46666666667</v>
      </c>
      <c r="J117" s="12">
        <v>45040</v>
      </c>
      <c r="K117" s="12">
        <v>45043</v>
      </c>
      <c r="L117" s="5" t="s">
        <v>156</v>
      </c>
      <c r="M117" s="5" t="s">
        <v>34</v>
      </c>
    </row>
    <row r="118" spans="1:13" x14ac:dyDescent="0.35">
      <c r="A118" s="1">
        <v>45047</v>
      </c>
      <c r="B118" s="43" t="s">
        <v>83</v>
      </c>
      <c r="C118" s="44">
        <v>339955</v>
      </c>
      <c r="D118" s="44">
        <f>C118/2</f>
        <v>169977.5</v>
      </c>
      <c r="E118" s="44">
        <f>C118/30</f>
        <v>11331.833333333334</v>
      </c>
      <c r="F118" s="44">
        <f>E118*13</f>
        <v>147313.83333333334</v>
      </c>
      <c r="G118" s="35">
        <v>2</v>
      </c>
      <c r="H118" s="44">
        <f>C118/30*2*0.2</f>
        <v>4532.7333333333336</v>
      </c>
      <c r="I118" s="44">
        <f>C118/30*2*0.8</f>
        <v>18130.933333333334</v>
      </c>
      <c r="J118" s="12">
        <v>45048</v>
      </c>
      <c r="K118" s="12">
        <v>45049</v>
      </c>
      <c r="L118" s="5" t="s">
        <v>167</v>
      </c>
      <c r="M118" s="5" t="s">
        <v>168</v>
      </c>
    </row>
    <row r="119" spans="1:13" x14ac:dyDescent="0.35">
      <c r="A119" s="1">
        <v>45047</v>
      </c>
      <c r="B119" s="43" t="s">
        <v>123</v>
      </c>
      <c r="C119" s="44">
        <v>1644963.5</v>
      </c>
      <c r="D119" s="44">
        <f t="shared" ref="D119" si="50">C119/2</f>
        <v>822481.75</v>
      </c>
      <c r="E119" s="44">
        <f t="shared" ref="E119" si="51">C119/30</f>
        <v>54832.116666666669</v>
      </c>
      <c r="F119" s="44">
        <f>E119*13</f>
        <v>712817.51666666672</v>
      </c>
      <c r="G119" s="35">
        <v>2</v>
      </c>
      <c r="H119" s="44">
        <f>C119/30*2*0.2</f>
        <v>21932.846666666668</v>
      </c>
      <c r="I119" s="53">
        <f>C119/30*2*0.8</f>
        <v>87731.386666666673</v>
      </c>
      <c r="J119" s="12">
        <v>44994</v>
      </c>
      <c r="K119" s="12">
        <v>44995</v>
      </c>
      <c r="L119" s="5" t="s">
        <v>173</v>
      </c>
      <c r="M119" s="5" t="s">
        <v>174</v>
      </c>
    </row>
    <row r="120" spans="1:13" x14ac:dyDescent="0.35">
      <c r="A120" s="1">
        <v>45047</v>
      </c>
      <c r="B120" s="43" t="s">
        <v>175</v>
      </c>
      <c r="C120" s="44">
        <v>1594930</v>
      </c>
      <c r="D120" s="44">
        <f t="shared" ref="D120" si="52">C120/2</f>
        <v>797465</v>
      </c>
      <c r="E120" s="44">
        <f t="shared" ref="E120" si="53">C120/30</f>
        <v>53164.333333333336</v>
      </c>
      <c r="F120" s="44">
        <f>E120*13</f>
        <v>691136.33333333337</v>
      </c>
      <c r="G120" s="35">
        <v>2</v>
      </c>
      <c r="H120" s="44">
        <f>C120/30*2*0.8</f>
        <v>85062.933333333349</v>
      </c>
      <c r="I120" s="53">
        <f>C120/30*2*0.2</f>
        <v>21265.733333333337</v>
      </c>
      <c r="J120" s="12">
        <v>45054</v>
      </c>
      <c r="K120" s="12">
        <v>45055</v>
      </c>
      <c r="L120" s="5" t="s">
        <v>176</v>
      </c>
      <c r="M120" s="5" t="s">
        <v>177</v>
      </c>
    </row>
    <row r="121" spans="1:13" x14ac:dyDescent="0.35">
      <c r="A121" s="1">
        <v>45047</v>
      </c>
      <c r="B121" s="43" t="s">
        <v>171</v>
      </c>
      <c r="C121" s="44">
        <v>298750</v>
      </c>
      <c r="D121" s="44">
        <f>C121/2</f>
        <v>149375</v>
      </c>
      <c r="E121" s="44">
        <f>C121/30</f>
        <v>9958.3333333333339</v>
      </c>
      <c r="F121" s="44">
        <f>E121*14</f>
        <v>139416.66666666669</v>
      </c>
      <c r="G121" s="35">
        <v>1</v>
      </c>
      <c r="H121" s="44">
        <f>C121/30*1*0.2</f>
        <v>1991.666666666667</v>
      </c>
      <c r="I121" s="44">
        <f>C121/30*1*0.8</f>
        <v>7966.6666666666679</v>
      </c>
      <c r="J121" s="12">
        <v>45050</v>
      </c>
      <c r="K121" s="12">
        <v>45050</v>
      </c>
      <c r="L121" s="5" t="s">
        <v>172</v>
      </c>
      <c r="M121" s="5" t="s">
        <v>34</v>
      </c>
    </row>
    <row r="122" spans="1:13" x14ac:dyDescent="0.35">
      <c r="A122" s="1">
        <v>45047</v>
      </c>
      <c r="B122" s="43" t="s">
        <v>162</v>
      </c>
      <c r="C122" s="44">
        <v>1630585.5</v>
      </c>
      <c r="D122" s="44">
        <f t="shared" ref="D122" si="54">C122/2</f>
        <v>815292.75</v>
      </c>
      <c r="E122" s="44">
        <f t="shared" ref="E122" si="55">C122/30</f>
        <v>54352.85</v>
      </c>
      <c r="F122" s="44">
        <f>E122*12</f>
        <v>652234.19999999995</v>
      </c>
      <c r="G122" s="35">
        <v>3</v>
      </c>
      <c r="H122" s="44">
        <f>E122*3*0.2</f>
        <v>32611.71</v>
      </c>
      <c r="I122" s="53">
        <f>C122/30*3*0.8</f>
        <v>130446.84</v>
      </c>
      <c r="J122" s="12">
        <v>45042</v>
      </c>
      <c r="K122" s="12">
        <v>45044</v>
      </c>
      <c r="L122" s="5" t="s">
        <v>163</v>
      </c>
      <c r="M122" s="5" t="s">
        <v>56</v>
      </c>
    </row>
    <row r="123" spans="1:13" x14ac:dyDescent="0.35">
      <c r="A123" s="1">
        <v>45047</v>
      </c>
      <c r="B123" s="43" t="s">
        <v>149</v>
      </c>
      <c r="C123" s="44">
        <v>475035</v>
      </c>
      <c r="D123" s="44">
        <f>C123/2</f>
        <v>237517.5</v>
      </c>
      <c r="E123" s="44">
        <f>C123/30</f>
        <v>15834.5</v>
      </c>
      <c r="F123" s="44">
        <f>E123*3</f>
        <v>47503.5</v>
      </c>
      <c r="G123" s="35">
        <v>12</v>
      </c>
      <c r="H123" s="44">
        <f>D123-F123-I123</f>
        <v>165193</v>
      </c>
      <c r="I123" s="67">
        <v>24821</v>
      </c>
      <c r="J123" s="12">
        <v>45034</v>
      </c>
      <c r="K123" s="12">
        <v>45054</v>
      </c>
      <c r="L123" s="5" t="s">
        <v>55</v>
      </c>
      <c r="M123" s="5" t="s">
        <v>56</v>
      </c>
    </row>
    <row r="124" spans="1:13" x14ac:dyDescent="0.35">
      <c r="A124" s="1">
        <v>45047</v>
      </c>
      <c r="B124" s="43" t="s">
        <v>59</v>
      </c>
      <c r="C124" s="44">
        <v>1194377</v>
      </c>
      <c r="D124" s="44">
        <f t="shared" ref="D124" si="56">C124/2</f>
        <v>597188.5</v>
      </c>
      <c r="E124" s="44">
        <f t="shared" ref="E124" si="57">C124/30</f>
        <v>39812.566666666666</v>
      </c>
      <c r="F124" s="44">
        <f>D124/2</f>
        <v>298594.25</v>
      </c>
      <c r="G124" s="35">
        <v>15</v>
      </c>
      <c r="H124" s="44">
        <f>D124/2</f>
        <v>298594.25</v>
      </c>
      <c r="I124" s="67">
        <v>0</v>
      </c>
      <c r="J124" s="12">
        <v>44957</v>
      </c>
      <c r="K124" s="12">
        <v>45076</v>
      </c>
      <c r="L124" s="5" t="s">
        <v>60</v>
      </c>
      <c r="M124" s="56" t="s">
        <v>61</v>
      </c>
    </row>
    <row r="125" spans="1:13" x14ac:dyDescent="0.35">
      <c r="A125" s="1"/>
      <c r="B125" s="43"/>
      <c r="C125" s="44"/>
      <c r="D125" s="44"/>
      <c r="E125" s="44"/>
      <c r="F125" s="44"/>
      <c r="G125" s="35">
        <f>SUM(G107:G124)</f>
        <v>80</v>
      </c>
      <c r="H125" s="44">
        <f>SUM(H107:H124)</f>
        <v>1436694.4933333332</v>
      </c>
      <c r="I125" s="53">
        <f>SUM(I107:I124)</f>
        <v>890026.22333333339</v>
      </c>
      <c r="J125" s="12"/>
      <c r="K125" s="5"/>
      <c r="L125" s="5"/>
      <c r="M125" s="5"/>
    </row>
    <row r="126" spans="1:13" x14ac:dyDescent="0.35">
      <c r="A126" s="1"/>
      <c r="B126" s="60" t="s">
        <v>37</v>
      </c>
      <c r="C126" s="44"/>
      <c r="D126" s="44"/>
      <c r="E126" s="44"/>
      <c r="F126" s="44"/>
      <c r="G126" s="35"/>
      <c r="H126" s="68">
        <f>H104+H125</f>
        <v>7987178.5199999996</v>
      </c>
      <c r="I126" s="53"/>
      <c r="J126" s="12"/>
      <c r="K126" s="5"/>
      <c r="L126" s="5"/>
      <c r="M126" s="5"/>
    </row>
    <row r="127" spans="1:13" x14ac:dyDescent="0.35">
      <c r="A127" s="1"/>
      <c r="B127" s="61" t="s">
        <v>50</v>
      </c>
      <c r="C127" s="44"/>
      <c r="D127" s="44"/>
      <c r="E127" s="44"/>
      <c r="F127" s="44"/>
      <c r="G127" s="35"/>
      <c r="H127" s="68">
        <f>H105+I125</f>
        <v>4864780.4733333336</v>
      </c>
      <c r="I127" s="66">
        <f>I105-I125</f>
        <v>20135219.526666667</v>
      </c>
      <c r="J127" s="12"/>
      <c r="K127" s="5"/>
      <c r="L127" s="5"/>
      <c r="M127" s="5"/>
    </row>
    <row r="128" spans="1:13" s="45" customFormat="1" x14ac:dyDescent="0.35"/>
    <row r="129" spans="1:13" x14ac:dyDescent="0.35">
      <c r="A129" s="1">
        <v>45048</v>
      </c>
      <c r="B129" s="43" t="s">
        <v>42</v>
      </c>
      <c r="C129" s="44">
        <v>307504</v>
      </c>
      <c r="D129" s="44">
        <f t="shared" ref="D129" si="58">C129/2</f>
        <v>153752</v>
      </c>
      <c r="E129" s="44">
        <f t="shared" ref="E129" si="59">C129/30</f>
        <v>10250.133333333333</v>
      </c>
      <c r="F129" s="44">
        <f>E129*14</f>
        <v>143501.86666666667</v>
      </c>
      <c r="G129" s="35">
        <v>1</v>
      </c>
      <c r="H129" s="44">
        <f>C129/30*1*0.2</f>
        <v>2050.0266666666666</v>
      </c>
      <c r="I129" s="44">
        <f>C129/30*1*0.8</f>
        <v>8200.1066666666666</v>
      </c>
      <c r="J129" s="12">
        <v>45065</v>
      </c>
      <c r="K129" s="12">
        <v>45065</v>
      </c>
      <c r="L129" s="5" t="s">
        <v>197</v>
      </c>
      <c r="M129" s="5" t="s">
        <v>34</v>
      </c>
    </row>
    <row r="130" spans="1:13" x14ac:dyDescent="0.35">
      <c r="A130" s="1">
        <v>45048</v>
      </c>
      <c r="B130" s="43" t="s">
        <v>141</v>
      </c>
      <c r="C130" s="44">
        <v>735196</v>
      </c>
      <c r="D130" s="44">
        <f>C130/2</f>
        <v>367598</v>
      </c>
      <c r="E130" s="44">
        <f>C130/30</f>
        <v>24506.533333333333</v>
      </c>
      <c r="F130" s="44">
        <v>0</v>
      </c>
      <c r="G130" s="35">
        <v>15</v>
      </c>
      <c r="H130" s="44">
        <f>C130/30*15*0.6</f>
        <v>220558.8</v>
      </c>
      <c r="I130" s="53">
        <f>C130/30*15*0.4</f>
        <v>147039.20000000001</v>
      </c>
      <c r="J130" s="12">
        <v>45046</v>
      </c>
      <c r="K130" s="12">
        <v>45070</v>
      </c>
      <c r="L130" s="5" t="s">
        <v>164</v>
      </c>
      <c r="M130" s="5" t="s">
        <v>143</v>
      </c>
    </row>
    <row r="131" spans="1:13" x14ac:dyDescent="0.35">
      <c r="A131" s="1">
        <v>45048</v>
      </c>
      <c r="B131" s="43" t="s">
        <v>183</v>
      </c>
      <c r="C131" s="44">
        <v>1425952</v>
      </c>
      <c r="D131" s="44">
        <f>C131/2</f>
        <v>712976</v>
      </c>
      <c r="E131" s="44">
        <f>C131/30</f>
        <v>47531.73333333333</v>
      </c>
      <c r="F131" s="44">
        <v>0</v>
      </c>
      <c r="G131" s="35">
        <v>15</v>
      </c>
      <c r="H131" s="44">
        <f>C131/30*3*0.2+C131/30*12*0.8</f>
        <v>484823.67999999993</v>
      </c>
      <c r="I131" s="53">
        <f>C131/30*3*0.8+C131/30*12*0.2</f>
        <v>228152.31999999998</v>
      </c>
      <c r="J131" s="12">
        <v>45054</v>
      </c>
      <c r="K131" s="12">
        <v>45083</v>
      </c>
      <c r="L131" s="5" t="s">
        <v>184</v>
      </c>
      <c r="M131" s="5" t="s">
        <v>29</v>
      </c>
    </row>
    <row r="132" spans="1:13" x14ac:dyDescent="0.35">
      <c r="A132" s="1">
        <v>45048</v>
      </c>
      <c r="B132" s="43" t="s">
        <v>32</v>
      </c>
      <c r="C132" s="44">
        <v>423290</v>
      </c>
      <c r="D132" s="44">
        <f>C132/2</f>
        <v>211645</v>
      </c>
      <c r="E132" s="44">
        <f>C132/30</f>
        <v>14109.666666666666</v>
      </c>
      <c r="F132" s="44">
        <f>E132*13</f>
        <v>183425.66666666666</v>
      </c>
      <c r="G132" s="35">
        <v>2</v>
      </c>
      <c r="H132" s="44">
        <f>C132/30*2*0.2</f>
        <v>5643.8666666666668</v>
      </c>
      <c r="I132" s="44">
        <f>C132/30*2*0.8</f>
        <v>22575.466666666667</v>
      </c>
      <c r="J132" s="12">
        <v>45056</v>
      </c>
      <c r="K132" s="12">
        <v>45057</v>
      </c>
      <c r="L132" s="5" t="s">
        <v>181</v>
      </c>
      <c r="M132" s="5" t="s">
        <v>34</v>
      </c>
    </row>
    <row r="133" spans="1:13" x14ac:dyDescent="0.35">
      <c r="A133" s="1">
        <v>45048</v>
      </c>
      <c r="B133" s="43" t="s">
        <v>192</v>
      </c>
      <c r="C133" s="44">
        <v>1419886.5</v>
      </c>
      <c r="D133" s="44">
        <f>C133/2</f>
        <v>709943.25</v>
      </c>
      <c r="E133" s="44">
        <f>C133/30</f>
        <v>47329.55</v>
      </c>
      <c r="F133" s="44">
        <v>0</v>
      </c>
      <c r="G133" s="35">
        <v>15</v>
      </c>
      <c r="H133" s="44">
        <f>C133/30*3*0.2+C133/30*12*0.8</f>
        <v>482761.41000000009</v>
      </c>
      <c r="I133" s="53">
        <f>C133/30*3*0.8+C133/30*12*0.2</f>
        <v>227181.84000000005</v>
      </c>
      <c r="J133" s="12">
        <v>45054</v>
      </c>
      <c r="K133" s="12">
        <v>45074</v>
      </c>
      <c r="L133" s="5" t="s">
        <v>195</v>
      </c>
      <c r="M133" s="5" t="s">
        <v>196</v>
      </c>
    </row>
    <row r="134" spans="1:13" x14ac:dyDescent="0.35">
      <c r="A134" s="1">
        <v>45048</v>
      </c>
      <c r="B134" s="43" t="s">
        <v>185</v>
      </c>
      <c r="C134" s="44">
        <v>329260</v>
      </c>
      <c r="D134" s="44">
        <f>C134/2</f>
        <v>164630</v>
      </c>
      <c r="E134" s="44">
        <f>C134/30</f>
        <v>10975.333333333334</v>
      </c>
      <c r="F134" s="44">
        <f>E134*13</f>
        <v>142679.33333333334</v>
      </c>
      <c r="G134" s="35">
        <v>2</v>
      </c>
      <c r="H134" s="65">
        <f>C134/30*2*0.2</f>
        <v>4390.1333333333341</v>
      </c>
      <c r="I134" s="53">
        <f>C134/30*2*0.8</f>
        <v>17560.533333333336</v>
      </c>
      <c r="J134" s="12">
        <v>45061</v>
      </c>
      <c r="K134" s="12">
        <v>45062</v>
      </c>
      <c r="L134" s="5" t="s">
        <v>186</v>
      </c>
      <c r="M134" s="5" t="s">
        <v>34</v>
      </c>
    </row>
    <row r="135" spans="1:13" x14ac:dyDescent="0.35">
      <c r="A135" s="1">
        <v>45048</v>
      </c>
      <c r="B135" s="43" t="s">
        <v>69</v>
      </c>
      <c r="C135" s="44">
        <v>339955</v>
      </c>
      <c r="D135" s="44">
        <f t="shared" ref="D135" si="60">C135/2</f>
        <v>169977.5</v>
      </c>
      <c r="E135" s="44">
        <f t="shared" ref="E135" si="61">C135/30</f>
        <v>11331.833333333334</v>
      </c>
      <c r="F135" s="44">
        <f>E135*13</f>
        <v>147313.83333333334</v>
      </c>
      <c r="G135" s="35">
        <v>2</v>
      </c>
      <c r="H135" s="44">
        <f>C135/30*2*0.2</f>
        <v>4532.7333333333336</v>
      </c>
      <c r="I135" s="53">
        <f>C135/30*2*0.8</f>
        <v>18130.933333333334</v>
      </c>
      <c r="J135" s="12">
        <v>45062</v>
      </c>
      <c r="K135" s="12">
        <v>45063</v>
      </c>
      <c r="L135" s="5" t="s">
        <v>187</v>
      </c>
      <c r="M135" s="5" t="s">
        <v>34</v>
      </c>
    </row>
    <row r="136" spans="1:13" x14ac:dyDescent="0.35">
      <c r="A136" s="1">
        <v>45048</v>
      </c>
      <c r="B136" s="43" t="s">
        <v>53</v>
      </c>
      <c r="C136" s="44">
        <v>435545</v>
      </c>
      <c r="D136" s="44">
        <f t="shared" ref="D136" si="62">C136/2</f>
        <v>217772.5</v>
      </c>
      <c r="E136" s="44">
        <f t="shared" ref="E136" si="63">C136/30</f>
        <v>14518.166666666666</v>
      </c>
      <c r="F136" s="44">
        <f>E136*14</f>
        <v>203254.33333333331</v>
      </c>
      <c r="G136" s="35">
        <v>1</v>
      </c>
      <c r="H136" s="44">
        <f>C136/30*1*0.2</f>
        <v>2903.6333333333332</v>
      </c>
      <c r="I136" s="53">
        <f>C136/30*1*0.8</f>
        <v>11614.533333333333</v>
      </c>
      <c r="J136" s="12">
        <v>45065</v>
      </c>
      <c r="K136" s="12">
        <v>45065</v>
      </c>
      <c r="L136" s="5" t="s">
        <v>193</v>
      </c>
      <c r="M136" s="5" t="s">
        <v>194</v>
      </c>
    </row>
    <row r="137" spans="1:13" x14ac:dyDescent="0.35">
      <c r="A137" s="1">
        <v>45048</v>
      </c>
      <c r="B137" s="43" t="s">
        <v>190</v>
      </c>
      <c r="C137" s="44">
        <v>1715053</v>
      </c>
      <c r="D137" s="44">
        <f>C137/2</f>
        <v>857526.5</v>
      </c>
      <c r="E137" s="44">
        <f>C137/30</f>
        <v>57168.433333333334</v>
      </c>
      <c r="F137" s="44">
        <f>E137*14</f>
        <v>800358.06666666665</v>
      </c>
      <c r="G137" s="35">
        <v>1</v>
      </c>
      <c r="H137" s="44">
        <f>C137/30*1*0.2</f>
        <v>11433.686666666668</v>
      </c>
      <c r="I137" s="53">
        <f>C137/30*1*0.8</f>
        <v>45734.746666666673</v>
      </c>
      <c r="J137" s="12">
        <v>45065</v>
      </c>
      <c r="K137" s="12">
        <v>45065</v>
      </c>
      <c r="L137" s="5" t="s">
        <v>191</v>
      </c>
      <c r="M137" s="5" t="s">
        <v>34</v>
      </c>
    </row>
    <row r="138" spans="1:13" x14ac:dyDescent="0.35">
      <c r="A138" s="1">
        <v>45048</v>
      </c>
      <c r="B138" s="43" t="s">
        <v>149</v>
      </c>
      <c r="C138" s="44">
        <v>475035</v>
      </c>
      <c r="D138" s="44">
        <f>C138/2</f>
        <v>237517.5</v>
      </c>
      <c r="E138" s="44">
        <f>C138/30</f>
        <v>15834.5</v>
      </c>
      <c r="F138" s="44">
        <v>0</v>
      </c>
      <c r="G138" s="35">
        <v>15</v>
      </c>
      <c r="H138" s="44">
        <f>D138-I138</f>
        <v>206491.5</v>
      </c>
      <c r="I138" s="53">
        <v>31026</v>
      </c>
      <c r="J138" s="12">
        <v>45055</v>
      </c>
      <c r="K138" s="12">
        <v>45084</v>
      </c>
      <c r="L138" s="5" t="s">
        <v>182</v>
      </c>
      <c r="M138" s="5" t="s">
        <v>56</v>
      </c>
    </row>
    <row r="139" spans="1:13" x14ac:dyDescent="0.35">
      <c r="A139" s="1">
        <v>45048</v>
      </c>
      <c r="B139" s="43" t="s">
        <v>188</v>
      </c>
      <c r="C139" s="44">
        <v>1427587.5</v>
      </c>
      <c r="D139" s="44">
        <f>C139/2</f>
        <v>713793.75</v>
      </c>
      <c r="E139" s="44">
        <f>C139/30</f>
        <v>47586.25</v>
      </c>
      <c r="F139" s="44">
        <f>E139*11</f>
        <v>523448.75</v>
      </c>
      <c r="G139" s="35">
        <v>4</v>
      </c>
      <c r="H139" s="44">
        <f>C139/30*3*0.2+C139/30*1*0.8</f>
        <v>66620.75</v>
      </c>
      <c r="I139" s="53">
        <f>C139/30*3*0.8+C139/30*1*0.2</f>
        <v>123724.25</v>
      </c>
      <c r="J139" s="12">
        <v>45062</v>
      </c>
      <c r="K139" s="12">
        <v>45065</v>
      </c>
      <c r="L139" s="5" t="s">
        <v>189</v>
      </c>
      <c r="M139" s="5" t="s">
        <v>34</v>
      </c>
    </row>
    <row r="140" spans="1:13" x14ac:dyDescent="0.35">
      <c r="A140" s="1">
        <v>45048</v>
      </c>
      <c r="B140" s="43" t="s">
        <v>59</v>
      </c>
      <c r="C140" s="44">
        <v>1194377</v>
      </c>
      <c r="D140" s="44">
        <f t="shared" ref="D140" si="64">C140/2</f>
        <v>597188.5</v>
      </c>
      <c r="E140" s="44">
        <f t="shared" ref="E140" si="65">C140/30</f>
        <v>39812.566666666666</v>
      </c>
      <c r="F140" s="44">
        <f>D140/2</f>
        <v>298594.25</v>
      </c>
      <c r="G140" s="35">
        <v>15</v>
      </c>
      <c r="H140" s="44">
        <f>D140/2</f>
        <v>298594.25</v>
      </c>
      <c r="I140" s="67">
        <v>0</v>
      </c>
      <c r="J140" s="12">
        <v>44957</v>
      </c>
      <c r="K140" s="12">
        <v>45076</v>
      </c>
      <c r="L140" s="5" t="s">
        <v>60</v>
      </c>
      <c r="M140" s="56" t="s">
        <v>61</v>
      </c>
    </row>
    <row r="141" spans="1:13" x14ac:dyDescent="0.35">
      <c r="G141" s="36">
        <f>SUM(G129:G140)</f>
        <v>88</v>
      </c>
      <c r="H141" s="44">
        <f>SUM(H129:H139)</f>
        <v>1492210.2200000002</v>
      </c>
      <c r="I141" s="31">
        <f>SUM(I129:I139)</f>
        <v>880939.93</v>
      </c>
    </row>
    <row r="142" spans="1:13" x14ac:dyDescent="0.35">
      <c r="A142" s="1"/>
      <c r="B142" s="60" t="s">
        <v>37</v>
      </c>
      <c r="C142" s="44"/>
      <c r="D142" s="44"/>
      <c r="E142" s="44"/>
      <c r="F142" s="44"/>
      <c r="G142" s="35"/>
      <c r="H142" s="68">
        <f>H126+H141</f>
        <v>9479388.7400000002</v>
      </c>
      <c r="I142" s="66"/>
      <c r="J142" s="12"/>
      <c r="K142" s="5"/>
      <c r="L142" s="5"/>
      <c r="M142" s="5"/>
    </row>
    <row r="143" spans="1:13" x14ac:dyDescent="0.35">
      <c r="A143" s="1"/>
      <c r="B143" s="61" t="s">
        <v>50</v>
      </c>
      <c r="C143" s="44"/>
      <c r="D143" s="44"/>
      <c r="E143" s="44"/>
      <c r="F143" s="44"/>
      <c r="G143" s="35"/>
      <c r="H143" s="68">
        <f>H127+I141</f>
        <v>5745720.4033333333</v>
      </c>
      <c r="I143" s="66">
        <f>I127-I141</f>
        <v>19254279.596666668</v>
      </c>
      <c r="J143" s="12"/>
      <c r="K143" s="5"/>
      <c r="L143" s="5"/>
      <c r="M143" s="5"/>
    </row>
    <row r="144" spans="1:13" s="45" customFormat="1" x14ac:dyDescent="0.35"/>
    <row r="145" spans="1:13" x14ac:dyDescent="0.35">
      <c r="A145" s="1">
        <v>45078</v>
      </c>
      <c r="B145" s="43" t="s">
        <v>141</v>
      </c>
      <c r="C145" s="44">
        <v>735196</v>
      </c>
      <c r="D145" s="44">
        <f>C145/2</f>
        <v>367598</v>
      </c>
      <c r="E145" s="44">
        <f>C145/30</f>
        <v>24506.533333333333</v>
      </c>
      <c r="F145" s="44">
        <v>0</v>
      </c>
      <c r="G145" s="35">
        <v>15</v>
      </c>
      <c r="H145" s="44">
        <f>C145/30*15*0.6</f>
        <v>220558.8</v>
      </c>
      <c r="I145" s="53">
        <f>C145/30*15*0.4</f>
        <v>147039.20000000001</v>
      </c>
      <c r="J145" s="12">
        <v>45071</v>
      </c>
      <c r="K145" s="12">
        <v>45095</v>
      </c>
      <c r="L145" s="5" t="s">
        <v>220</v>
      </c>
      <c r="M145" s="5" t="s">
        <v>143</v>
      </c>
    </row>
    <row r="146" spans="1:13" x14ac:dyDescent="0.35">
      <c r="A146" s="1">
        <v>45078</v>
      </c>
      <c r="B146" s="43" t="s">
        <v>183</v>
      </c>
      <c r="C146" s="44">
        <v>1425952</v>
      </c>
      <c r="D146" s="44">
        <f>C146/2</f>
        <v>712976</v>
      </c>
      <c r="E146" s="44">
        <f>C146/30</f>
        <v>47531.73333333333</v>
      </c>
      <c r="F146" s="44">
        <v>0</v>
      </c>
      <c r="G146" s="35">
        <v>15</v>
      </c>
      <c r="H146" s="44">
        <f>CC146/30*15*0.8</f>
        <v>0</v>
      </c>
      <c r="I146" s="53">
        <f>C146/30*15*0.2</f>
        <v>142595.20000000001</v>
      </c>
      <c r="J146" s="12">
        <v>45054</v>
      </c>
      <c r="K146" s="12">
        <v>45083</v>
      </c>
      <c r="L146" s="5" t="s">
        <v>184</v>
      </c>
      <c r="M146" s="5" t="s">
        <v>29</v>
      </c>
    </row>
    <row r="147" spans="1:13" x14ac:dyDescent="0.35">
      <c r="A147" s="1">
        <v>45078</v>
      </c>
      <c r="B147" s="43" t="s">
        <v>192</v>
      </c>
      <c r="C147" s="44">
        <v>1419886.5</v>
      </c>
      <c r="D147" s="44">
        <f>C147/2</f>
        <v>709943.25</v>
      </c>
      <c r="E147" s="44">
        <f>C147/30</f>
        <v>47329.55</v>
      </c>
      <c r="F147" s="44">
        <v>0</v>
      </c>
      <c r="G147" s="35">
        <v>15</v>
      </c>
      <c r="H147" s="44">
        <f>C147/30*15*0.8</f>
        <v>567954.6</v>
      </c>
      <c r="I147" s="53">
        <f>C147/30*15*0.2</f>
        <v>141988.65</v>
      </c>
      <c r="J147" s="12">
        <v>45054</v>
      </c>
      <c r="K147" s="12">
        <v>45074</v>
      </c>
      <c r="L147" s="5" t="s">
        <v>195</v>
      </c>
      <c r="M147" s="5" t="s">
        <v>230</v>
      </c>
    </row>
    <row r="148" spans="1:13" x14ac:dyDescent="0.35">
      <c r="A148" s="1">
        <v>45078</v>
      </c>
      <c r="B148" s="43" t="s">
        <v>217</v>
      </c>
      <c r="C148" s="44">
        <v>343050</v>
      </c>
      <c r="D148" s="44">
        <f>C148/2</f>
        <v>171525</v>
      </c>
      <c r="E148" s="44">
        <f>C148/30</f>
        <v>11435</v>
      </c>
      <c r="F148" s="44">
        <f>E148*13</f>
        <v>148655</v>
      </c>
      <c r="G148" s="35">
        <v>2</v>
      </c>
      <c r="H148" s="44">
        <f>C148/30*2*0.2</f>
        <v>4574</v>
      </c>
      <c r="I148" s="44">
        <f>C148/30*2*0.8</f>
        <v>18296</v>
      </c>
      <c r="J148" s="12">
        <v>45084</v>
      </c>
      <c r="K148" s="12">
        <v>44993</v>
      </c>
      <c r="L148" s="5" t="s">
        <v>218</v>
      </c>
      <c r="M148" s="5" t="s">
        <v>34</v>
      </c>
    </row>
    <row r="149" spans="1:13" x14ac:dyDescent="0.35">
      <c r="A149" s="1">
        <v>45078</v>
      </c>
      <c r="B149" s="43" t="s">
        <v>138</v>
      </c>
      <c r="C149" s="44">
        <v>1155808</v>
      </c>
      <c r="D149" s="44">
        <f t="shared" ref="D149" si="66">C149/2</f>
        <v>577904</v>
      </c>
      <c r="E149" s="44">
        <f t="shared" ref="E149" si="67">C149/30</f>
        <v>38526.933333333334</v>
      </c>
      <c r="F149" s="44">
        <f>E149*14</f>
        <v>539377.06666666665</v>
      </c>
      <c r="G149" s="35">
        <v>1</v>
      </c>
      <c r="H149" s="44">
        <f>C149/30*1*0.2</f>
        <v>7705.3866666666672</v>
      </c>
      <c r="I149" s="53">
        <f>C149/30*1*0.8</f>
        <v>30821.546666666669</v>
      </c>
      <c r="J149" s="12">
        <v>45071</v>
      </c>
      <c r="K149" s="12">
        <v>45071</v>
      </c>
      <c r="L149" s="5" t="s">
        <v>198</v>
      </c>
      <c r="M149" s="5" t="s">
        <v>34</v>
      </c>
    </row>
    <row r="150" spans="1:13" x14ac:dyDescent="0.35">
      <c r="A150" s="1">
        <v>45078</v>
      </c>
      <c r="B150" s="43" t="s">
        <v>213</v>
      </c>
      <c r="C150" s="44">
        <v>293000</v>
      </c>
      <c r="D150" s="44">
        <f t="shared" ref="D150" si="68">C150/2</f>
        <v>146500</v>
      </c>
      <c r="E150" s="44">
        <f t="shared" ref="E150" si="69">C150/30</f>
        <v>9766.6666666666661</v>
      </c>
      <c r="F150" s="44">
        <f t="shared" ref="F150:F157" si="70">E150*13</f>
        <v>126966.66666666666</v>
      </c>
      <c r="G150" s="35">
        <v>1</v>
      </c>
      <c r="H150" s="44">
        <f>C150/30*3*0.2+C150/30*1*0.8</f>
        <v>13673.333333333332</v>
      </c>
      <c r="I150" s="53">
        <f>C150/30*3*0.8+C150/30*2*0.2</f>
        <v>27346.666666666668</v>
      </c>
      <c r="J150" s="12">
        <v>45082</v>
      </c>
      <c r="K150" s="12">
        <v>45082</v>
      </c>
      <c r="L150" s="5" t="s">
        <v>214</v>
      </c>
      <c r="M150" s="5" t="s">
        <v>34</v>
      </c>
    </row>
    <row r="151" spans="1:13" x14ac:dyDescent="0.35">
      <c r="A151" s="1">
        <v>45078</v>
      </c>
      <c r="B151" s="43" t="s">
        <v>213</v>
      </c>
      <c r="C151" s="44">
        <v>0</v>
      </c>
      <c r="D151" s="44">
        <v>0</v>
      </c>
      <c r="E151" s="44">
        <v>0</v>
      </c>
      <c r="F151" s="44">
        <v>0</v>
      </c>
      <c r="G151" s="35">
        <v>3</v>
      </c>
      <c r="H151" s="44">
        <v>0</v>
      </c>
      <c r="I151" s="53">
        <v>0</v>
      </c>
      <c r="J151" s="12">
        <v>45084</v>
      </c>
      <c r="K151" s="12">
        <v>45086</v>
      </c>
      <c r="L151" s="5" t="s">
        <v>216</v>
      </c>
      <c r="M151" s="5" t="s">
        <v>34</v>
      </c>
    </row>
    <row r="152" spans="1:13" x14ac:dyDescent="0.35">
      <c r="A152" s="1">
        <v>45078</v>
      </c>
      <c r="B152" s="43" t="s">
        <v>83</v>
      </c>
      <c r="C152" s="44">
        <v>339955</v>
      </c>
      <c r="D152" s="44">
        <f>C152/2</f>
        <v>169977.5</v>
      </c>
      <c r="E152" s="44">
        <f>C152/30</f>
        <v>11331.833333333334</v>
      </c>
      <c r="F152" s="44">
        <f t="shared" si="70"/>
        <v>147313.83333333334</v>
      </c>
      <c r="G152" s="35">
        <v>2</v>
      </c>
      <c r="H152" s="44">
        <f>C152/30*1*0.2+C152/30*1*0.8</f>
        <v>11331.833333333334</v>
      </c>
      <c r="I152" s="44">
        <f>C152/30*1*0.8+C152/30*1*0.2</f>
        <v>11331.833333333334</v>
      </c>
      <c r="J152" s="12">
        <v>45078</v>
      </c>
      <c r="K152" s="12">
        <v>45079</v>
      </c>
      <c r="L152" s="5" t="s">
        <v>207</v>
      </c>
      <c r="M152" s="5" t="s">
        <v>34</v>
      </c>
    </row>
    <row r="153" spans="1:13" x14ac:dyDescent="0.35">
      <c r="A153" s="1">
        <v>45078</v>
      </c>
      <c r="B153" s="43" t="s">
        <v>74</v>
      </c>
      <c r="C153" s="44">
        <v>778541</v>
      </c>
      <c r="D153" s="44">
        <f t="shared" ref="D153" si="71">C153/2</f>
        <v>389270.5</v>
      </c>
      <c r="E153" s="44">
        <f t="shared" ref="E153" si="72">C153/30</f>
        <v>25951.366666666665</v>
      </c>
      <c r="F153" s="44">
        <f t="shared" si="70"/>
        <v>337367.76666666666</v>
      </c>
      <c r="G153" s="35">
        <v>2</v>
      </c>
      <c r="H153" s="44">
        <f>C153/30*2*0.2</f>
        <v>10380.546666666667</v>
      </c>
      <c r="I153" s="53">
        <f>C153/30*2*0.8</f>
        <v>41522.186666666668</v>
      </c>
      <c r="J153" s="12">
        <v>45071</v>
      </c>
      <c r="K153" s="12">
        <v>45072</v>
      </c>
      <c r="L153" s="5" t="s">
        <v>201</v>
      </c>
      <c r="M153" s="5" t="s">
        <v>202</v>
      </c>
    </row>
    <row r="154" spans="1:13" x14ac:dyDescent="0.35">
      <c r="A154" s="1">
        <v>45078</v>
      </c>
      <c r="B154" s="43" t="s">
        <v>224</v>
      </c>
      <c r="C154" s="44">
        <v>949625</v>
      </c>
      <c r="D154" s="44">
        <f>C154/2</f>
        <v>474812.5</v>
      </c>
      <c r="E154" s="44">
        <f>C154/30</f>
        <v>31654.166666666668</v>
      </c>
      <c r="F154" s="44">
        <f>E154*13</f>
        <v>411504.16666666669</v>
      </c>
      <c r="G154" s="35">
        <v>2</v>
      </c>
      <c r="H154" s="44">
        <f>C154/30*2*0.2</f>
        <v>12661.666666666668</v>
      </c>
      <c r="I154" s="53">
        <f>C154/30*2*0.8</f>
        <v>50646.666666666672</v>
      </c>
      <c r="J154" s="12">
        <v>45078</v>
      </c>
      <c r="K154" s="12">
        <v>45079</v>
      </c>
      <c r="L154" s="5" t="s">
        <v>225</v>
      </c>
      <c r="M154" s="5" t="s">
        <v>226</v>
      </c>
    </row>
    <row r="155" spans="1:13" x14ac:dyDescent="0.35">
      <c r="A155" s="1">
        <v>45078</v>
      </c>
      <c r="B155" s="43" t="s">
        <v>203</v>
      </c>
      <c r="C155" s="44">
        <v>2542067</v>
      </c>
      <c r="D155" s="44">
        <f t="shared" ref="D155" si="73">C155/2</f>
        <v>1271033.5</v>
      </c>
      <c r="E155" s="44">
        <f t="shared" ref="E155" si="74">C155/30</f>
        <v>84735.566666666666</v>
      </c>
      <c r="F155" s="44">
        <f t="shared" si="70"/>
        <v>1101562.3666666667</v>
      </c>
      <c r="G155" s="35">
        <v>2</v>
      </c>
      <c r="H155" s="44">
        <f>C155/30*2*0.2</f>
        <v>33894.226666666669</v>
      </c>
      <c r="I155" s="53">
        <f>C155/30*2*0.8</f>
        <v>135576.90666666668</v>
      </c>
      <c r="J155" s="12">
        <v>45076</v>
      </c>
      <c r="K155" s="12">
        <v>45077</v>
      </c>
      <c r="L155" s="5" t="s">
        <v>204</v>
      </c>
      <c r="M155" s="5" t="s">
        <v>205</v>
      </c>
    </row>
    <row r="156" spans="1:13" x14ac:dyDescent="0.35">
      <c r="A156" s="1">
        <v>45078</v>
      </c>
      <c r="B156" s="43" t="s">
        <v>53</v>
      </c>
      <c r="C156" s="44">
        <v>435545</v>
      </c>
      <c r="D156" s="44">
        <f>C156/2</f>
        <v>217772.5</v>
      </c>
      <c r="E156" s="44">
        <f>C156/30</f>
        <v>14518.166666666666</v>
      </c>
      <c r="F156" s="44">
        <f>E156*8</f>
        <v>116145.33333333333</v>
      </c>
      <c r="G156" s="35">
        <v>2</v>
      </c>
      <c r="H156" s="44">
        <f>C156/30*2*0.2+C156/30*5*0.8</f>
        <v>63879.933333333334</v>
      </c>
      <c r="I156" s="53">
        <f>C156/30*2*0.8+C156/30*5*0.2</f>
        <v>37747.23333333333</v>
      </c>
      <c r="J156" s="12">
        <v>45078</v>
      </c>
      <c r="K156" s="12">
        <v>45079</v>
      </c>
      <c r="L156" s="5" t="s">
        <v>206</v>
      </c>
      <c r="M156" s="5" t="s">
        <v>34</v>
      </c>
    </row>
    <row r="157" spans="1:13" x14ac:dyDescent="0.35">
      <c r="A157" s="1">
        <v>45078</v>
      </c>
      <c r="B157" s="43" t="s">
        <v>53</v>
      </c>
      <c r="C157" s="44">
        <v>0</v>
      </c>
      <c r="D157" s="44">
        <v>0</v>
      </c>
      <c r="E157" s="44">
        <f>C157/30</f>
        <v>0</v>
      </c>
      <c r="F157" s="44">
        <f t="shared" si="70"/>
        <v>0</v>
      </c>
      <c r="G157" s="35">
        <v>3</v>
      </c>
      <c r="H157" s="44">
        <v>0</v>
      </c>
      <c r="I157" s="53">
        <v>0</v>
      </c>
      <c r="J157" s="12">
        <v>45082</v>
      </c>
      <c r="K157" s="12">
        <v>45084</v>
      </c>
      <c r="L157" s="5" t="s">
        <v>215</v>
      </c>
      <c r="M157" s="5" t="s">
        <v>34</v>
      </c>
    </row>
    <row r="158" spans="1:13" x14ac:dyDescent="0.35">
      <c r="A158" s="1">
        <v>45078</v>
      </c>
      <c r="B158" s="43" t="s">
        <v>53</v>
      </c>
      <c r="C158" s="44">
        <v>0</v>
      </c>
      <c r="D158" s="44">
        <v>0</v>
      </c>
      <c r="E158" s="44">
        <f>C158/30</f>
        <v>0</v>
      </c>
      <c r="F158" s="44">
        <f t="shared" ref="F158" si="75">E158*13</f>
        <v>0</v>
      </c>
      <c r="G158" s="35">
        <v>2</v>
      </c>
      <c r="H158" s="44">
        <v>0</v>
      </c>
      <c r="I158" s="53">
        <v>0</v>
      </c>
      <c r="J158" s="12">
        <v>45085</v>
      </c>
      <c r="K158" s="12">
        <v>45086</v>
      </c>
      <c r="L158" s="5" t="s">
        <v>219</v>
      </c>
      <c r="M158" s="5" t="s">
        <v>194</v>
      </c>
    </row>
    <row r="159" spans="1:13" x14ac:dyDescent="0.35">
      <c r="A159" s="1">
        <v>45078</v>
      </c>
      <c r="B159" s="43" t="s">
        <v>208</v>
      </c>
      <c r="C159" s="44">
        <v>326237</v>
      </c>
      <c r="D159" s="44">
        <f>C159/2</f>
        <v>163118.5</v>
      </c>
      <c r="E159" s="44">
        <f>C159/30</f>
        <v>10874.566666666668</v>
      </c>
      <c r="F159" s="44">
        <f>E159*12</f>
        <v>130494.80000000002</v>
      </c>
      <c r="G159" s="35">
        <v>9</v>
      </c>
      <c r="H159" s="44">
        <f>C159/30*12*0.8</f>
        <v>104395.84000000003</v>
      </c>
      <c r="I159" s="53">
        <f>C159/30*12*0.2</f>
        <v>26098.960000000006</v>
      </c>
      <c r="J159" s="12">
        <v>45077</v>
      </c>
      <c r="K159" s="12">
        <v>45079</v>
      </c>
      <c r="L159" s="5" t="s">
        <v>209</v>
      </c>
      <c r="M159" s="5" t="s">
        <v>56</v>
      </c>
    </row>
    <row r="160" spans="1:13" x14ac:dyDescent="0.35">
      <c r="A160" s="1">
        <v>45078</v>
      </c>
      <c r="B160" s="43" t="s">
        <v>199</v>
      </c>
      <c r="C160" s="44">
        <v>1086218</v>
      </c>
      <c r="D160" s="44">
        <f t="shared" ref="D160" si="76">C160/2</f>
        <v>543109</v>
      </c>
      <c r="E160" s="44">
        <f t="shared" ref="E160" si="77">C160/30</f>
        <v>36207.26666666667</v>
      </c>
      <c r="F160" s="44">
        <f>E160*14</f>
        <v>506901.7333333334</v>
      </c>
      <c r="G160" s="35">
        <v>1</v>
      </c>
      <c r="H160" s="44">
        <f>C160/30*1*0.2</f>
        <v>7241.4533333333347</v>
      </c>
      <c r="I160" s="53">
        <f>C160/30*1*0.8</f>
        <v>28965.813333333339</v>
      </c>
      <c r="J160" s="12">
        <v>45069</v>
      </c>
      <c r="K160" s="12">
        <v>45069</v>
      </c>
      <c r="L160" s="5" t="s">
        <v>200</v>
      </c>
      <c r="M160" s="5" t="s">
        <v>34</v>
      </c>
    </row>
    <row r="161" spans="1:13" x14ac:dyDescent="0.35">
      <c r="A161" s="1">
        <v>45078</v>
      </c>
      <c r="B161" s="44" t="s">
        <v>231</v>
      </c>
      <c r="C161" s="44">
        <v>475035</v>
      </c>
      <c r="D161" s="44">
        <f>C161/2</f>
        <v>237517.5</v>
      </c>
      <c r="E161" s="44">
        <f>C161/30</f>
        <v>15834.5</v>
      </c>
      <c r="F161" s="44">
        <v>0</v>
      </c>
      <c r="G161" s="35">
        <v>15</v>
      </c>
      <c r="H161" s="44">
        <f>D161-I161</f>
        <v>206491.5</v>
      </c>
      <c r="I161" s="53">
        <v>31026</v>
      </c>
      <c r="J161" s="12">
        <v>45055</v>
      </c>
      <c r="K161" s="12">
        <v>45084</v>
      </c>
      <c r="L161" s="5" t="s">
        <v>182</v>
      </c>
      <c r="M161" s="5" t="s">
        <v>56</v>
      </c>
    </row>
    <row r="162" spans="1:13" x14ac:dyDescent="0.35">
      <c r="A162" s="1">
        <v>45078</v>
      </c>
      <c r="B162" s="43" t="s">
        <v>210</v>
      </c>
      <c r="C162" s="44">
        <v>1879200</v>
      </c>
      <c r="D162" s="44">
        <f>C162/2</f>
        <v>939600</v>
      </c>
      <c r="E162" s="44">
        <f>C162/30</f>
        <v>62640</v>
      </c>
      <c r="F162" s="44">
        <f>E162*14</f>
        <v>876960</v>
      </c>
      <c r="G162" s="35">
        <v>1</v>
      </c>
      <c r="H162" s="44">
        <f>C162/30*1*0.2</f>
        <v>12528</v>
      </c>
      <c r="I162" s="44">
        <f>C162/30*1*0.8</f>
        <v>50112</v>
      </c>
      <c r="J162" s="12">
        <v>45079</v>
      </c>
      <c r="K162" s="12">
        <v>45079</v>
      </c>
      <c r="L162" s="5" t="s">
        <v>211</v>
      </c>
      <c r="M162" s="5" t="s">
        <v>34</v>
      </c>
    </row>
    <row r="163" spans="1:13" x14ac:dyDescent="0.35">
      <c r="A163" s="1">
        <v>45078</v>
      </c>
      <c r="B163" s="43" t="s">
        <v>59</v>
      </c>
      <c r="C163" s="44">
        <v>1194377</v>
      </c>
      <c r="D163" s="44">
        <f t="shared" ref="D163" si="78">C163/2</f>
        <v>597188.5</v>
      </c>
      <c r="E163" s="44">
        <f t="shared" ref="E163" si="79">C163/30</f>
        <v>39812.566666666666</v>
      </c>
      <c r="F163" s="44">
        <f>D163/15*2</f>
        <v>79625.133333333331</v>
      </c>
      <c r="G163" s="35">
        <v>2</v>
      </c>
      <c r="H163" s="44">
        <v>0</v>
      </c>
      <c r="I163" s="67">
        <v>0</v>
      </c>
      <c r="J163" s="12">
        <v>44957</v>
      </c>
      <c r="K163" s="12">
        <v>45076</v>
      </c>
      <c r="L163" s="5" t="s">
        <v>60</v>
      </c>
      <c r="M163" s="56" t="s">
        <v>61</v>
      </c>
    </row>
    <row r="164" spans="1:13" x14ac:dyDescent="0.35">
      <c r="A164" s="1"/>
      <c r="B164" s="72"/>
      <c r="C164" s="73"/>
      <c r="D164" s="73"/>
      <c r="E164" s="73"/>
      <c r="F164" s="73"/>
      <c r="G164" s="74">
        <f>SUM(G145:G163)</f>
        <v>95</v>
      </c>
      <c r="H164" s="44">
        <f>SUM(H145:H162)</f>
        <v>1277271.1200000001</v>
      </c>
      <c r="I164" s="53">
        <f>SUM(I145:I162)</f>
        <v>921114.86333333328</v>
      </c>
      <c r="J164" s="12"/>
      <c r="K164" s="5"/>
      <c r="L164" s="5"/>
      <c r="M164" s="5"/>
    </row>
    <row r="165" spans="1:13" x14ac:dyDescent="0.35">
      <c r="A165" s="1"/>
      <c r="B165" s="60" t="s">
        <v>37</v>
      </c>
      <c r="C165" s="73"/>
      <c r="D165" s="73"/>
      <c r="E165" s="73"/>
      <c r="F165" s="73"/>
      <c r="G165" s="74"/>
      <c r="H165" s="68">
        <f>H142+H164</f>
        <v>10756659.859999999</v>
      </c>
      <c r="I165" s="53"/>
      <c r="J165" s="12"/>
      <c r="K165" s="5"/>
      <c r="L165" s="5"/>
      <c r="M165" s="5"/>
    </row>
    <row r="166" spans="1:13" x14ac:dyDescent="0.35">
      <c r="A166" s="1"/>
      <c r="B166" s="61" t="s">
        <v>50</v>
      </c>
      <c r="C166" s="73"/>
      <c r="D166" s="73"/>
      <c r="E166" s="73"/>
      <c r="F166" s="73"/>
      <c r="G166" s="74"/>
      <c r="H166" s="68">
        <f>H143+I164</f>
        <v>6666835.2666666666</v>
      </c>
      <c r="I166" s="66">
        <f>I143-I164</f>
        <v>18333164.733333334</v>
      </c>
      <c r="J166" s="12"/>
      <c r="K166" s="5"/>
      <c r="L166" s="5"/>
      <c r="M166" s="5"/>
    </row>
    <row r="167" spans="1:13" s="45" customFormat="1" x14ac:dyDescent="0.35"/>
    <row r="168" spans="1:13" s="70" customFormat="1" x14ac:dyDescent="0.35">
      <c r="A168" s="1">
        <v>45079</v>
      </c>
      <c r="B168" s="69" t="s">
        <v>109</v>
      </c>
      <c r="C168" s="44">
        <v>1972492</v>
      </c>
      <c r="D168" s="44">
        <f>C168/2</f>
        <v>986246</v>
      </c>
      <c r="E168" s="44">
        <f>C168/30</f>
        <v>65749.733333333337</v>
      </c>
      <c r="F168" s="44">
        <v>0</v>
      </c>
      <c r="G168" s="35">
        <v>9</v>
      </c>
      <c r="H168" s="44">
        <f>C168/30*3*0.2+C168/30*12*0.8</f>
        <v>670647.28</v>
      </c>
      <c r="I168" s="44">
        <f>C168/30*3*0.8+C168/30*12*0.2</f>
        <v>315598.72000000003</v>
      </c>
      <c r="J168" s="81">
        <v>45064</v>
      </c>
      <c r="K168" s="81">
        <v>45072</v>
      </c>
      <c r="L168" s="69" t="s">
        <v>234</v>
      </c>
      <c r="M168" s="69" t="s">
        <v>235</v>
      </c>
    </row>
    <row r="169" spans="1:13" s="70" customFormat="1" x14ac:dyDescent="0.35">
      <c r="A169" s="1">
        <v>45079</v>
      </c>
      <c r="B169" s="69" t="s">
        <v>109</v>
      </c>
      <c r="C169" s="44">
        <v>0</v>
      </c>
      <c r="D169" s="44">
        <v>0</v>
      </c>
      <c r="E169" s="44">
        <v>0</v>
      </c>
      <c r="F169" s="44">
        <v>0</v>
      </c>
      <c r="G169" s="35">
        <v>6</v>
      </c>
      <c r="H169" s="44">
        <v>0</v>
      </c>
      <c r="I169" s="44">
        <v>0</v>
      </c>
      <c r="J169" s="81">
        <v>45073</v>
      </c>
      <c r="K169" s="81">
        <v>45093</v>
      </c>
      <c r="L169" s="69" t="s">
        <v>236</v>
      </c>
      <c r="M169" s="69" t="s">
        <v>235</v>
      </c>
    </row>
    <row r="170" spans="1:13" s="70" customFormat="1" x14ac:dyDescent="0.35">
      <c r="A170" s="1">
        <v>45079</v>
      </c>
      <c r="B170" s="69" t="s">
        <v>93</v>
      </c>
      <c r="C170" s="44">
        <v>293000</v>
      </c>
      <c r="D170" s="44">
        <f>C170/2</f>
        <v>146500</v>
      </c>
      <c r="E170" s="44">
        <f>C170/30</f>
        <v>9766.6666666666661</v>
      </c>
      <c r="F170" s="44">
        <f>E170*10</f>
        <v>97666.666666666657</v>
      </c>
      <c r="G170" s="35">
        <v>3</v>
      </c>
      <c r="H170" s="44">
        <f>C170/30*3*0.8+C170/30*2*0.8</f>
        <v>39066.666666666664</v>
      </c>
      <c r="I170" s="44">
        <f>C170/30*3*0.8+C170/30*2*0.2</f>
        <v>27346.666666666668</v>
      </c>
      <c r="J170" s="12">
        <v>45075</v>
      </c>
      <c r="K170" s="12">
        <v>45077</v>
      </c>
      <c r="L170" s="69" t="s">
        <v>221</v>
      </c>
      <c r="M170" s="79" t="s">
        <v>222</v>
      </c>
    </row>
    <row r="171" spans="1:13" s="70" customFormat="1" x14ac:dyDescent="0.35">
      <c r="A171" s="1">
        <v>45079</v>
      </c>
      <c r="B171" s="80" t="s">
        <v>93</v>
      </c>
      <c r="C171" s="44">
        <v>0</v>
      </c>
      <c r="D171" s="44">
        <v>0</v>
      </c>
      <c r="E171" s="44">
        <v>0</v>
      </c>
      <c r="F171" s="44">
        <v>0</v>
      </c>
      <c r="G171" s="35">
        <v>2</v>
      </c>
      <c r="H171" s="44">
        <v>0</v>
      </c>
      <c r="I171" s="44">
        <v>0</v>
      </c>
      <c r="J171" s="12">
        <v>45078</v>
      </c>
      <c r="K171" s="12">
        <v>45079</v>
      </c>
      <c r="L171" s="69" t="s">
        <v>223</v>
      </c>
      <c r="M171" s="79" t="s">
        <v>222</v>
      </c>
    </row>
    <row r="172" spans="1:13" x14ac:dyDescent="0.35">
      <c r="A172" s="1">
        <v>45079</v>
      </c>
      <c r="B172" s="43" t="s">
        <v>141</v>
      </c>
      <c r="C172" s="44">
        <v>735196</v>
      </c>
      <c r="D172" s="44">
        <f>C172/2</f>
        <v>367598</v>
      </c>
      <c r="E172" s="44">
        <f>C172/30</f>
        <v>24506.533333333333</v>
      </c>
      <c r="F172" s="44">
        <v>0</v>
      </c>
      <c r="G172" s="35">
        <v>15</v>
      </c>
      <c r="H172" s="44">
        <f>C172/30*15*0.6</f>
        <v>220558.8</v>
      </c>
      <c r="I172" s="44">
        <f>C172/30*15*0.4</f>
        <v>147039.20000000001</v>
      </c>
      <c r="J172" s="12">
        <v>45046</v>
      </c>
      <c r="K172" s="12">
        <v>45070</v>
      </c>
      <c r="L172" s="5" t="s">
        <v>164</v>
      </c>
      <c r="M172" s="5" t="s">
        <v>143</v>
      </c>
    </row>
    <row r="173" spans="1:13" x14ac:dyDescent="0.35">
      <c r="A173" s="1">
        <v>45079</v>
      </c>
      <c r="B173" s="43" t="s">
        <v>192</v>
      </c>
      <c r="C173" s="44">
        <v>1419886.5</v>
      </c>
      <c r="D173" s="44">
        <f>C173/2</f>
        <v>709943.25</v>
      </c>
      <c r="E173" s="44">
        <f>C173/30</f>
        <v>47329.55</v>
      </c>
      <c r="F173" s="44">
        <v>0</v>
      </c>
      <c r="G173" s="35">
        <v>15</v>
      </c>
      <c r="H173" s="44">
        <f>C173/30*6*0.8+C173/30*9*0.4</f>
        <v>397568.22000000009</v>
      </c>
      <c r="I173" s="44">
        <f>C173/30*15*0.4</f>
        <v>283977.3</v>
      </c>
      <c r="J173" s="12">
        <v>45075</v>
      </c>
      <c r="K173" s="12">
        <v>45089</v>
      </c>
      <c r="L173" s="5" t="s">
        <v>195</v>
      </c>
      <c r="M173" s="5" t="s">
        <v>230</v>
      </c>
    </row>
    <row r="174" spans="1:13" x14ac:dyDescent="0.35">
      <c r="A174" s="1">
        <v>45079</v>
      </c>
      <c r="B174" s="72" t="s">
        <v>240</v>
      </c>
      <c r="C174" s="73">
        <v>1434728</v>
      </c>
      <c r="D174" s="44">
        <f t="shared" ref="D174:D177" si="80">C174/2</f>
        <v>717364</v>
      </c>
      <c r="E174" s="44">
        <f t="shared" ref="E174:E177" si="81">C174/30</f>
        <v>47824.26666666667</v>
      </c>
      <c r="F174" s="73">
        <f>E174*13</f>
        <v>621715.46666666667</v>
      </c>
      <c r="G174" s="74">
        <v>2</v>
      </c>
      <c r="H174" s="44">
        <f>C174/30*2*0.2</f>
        <v>19129.706666666669</v>
      </c>
      <c r="I174" s="44">
        <f>C174/30*2*0.8</f>
        <v>76518.826666666675</v>
      </c>
      <c r="J174" s="12">
        <v>45089</v>
      </c>
      <c r="K174" s="12">
        <v>45090</v>
      </c>
      <c r="L174" s="5" t="s">
        <v>241</v>
      </c>
      <c r="M174" s="5" t="s">
        <v>242</v>
      </c>
    </row>
    <row r="175" spans="1:13" x14ac:dyDescent="0.35">
      <c r="A175" s="1">
        <v>45079</v>
      </c>
      <c r="B175" s="72" t="s">
        <v>87</v>
      </c>
      <c r="C175" s="73">
        <v>1480399.5</v>
      </c>
      <c r="D175" s="44">
        <f t="shared" si="80"/>
        <v>740199.75</v>
      </c>
      <c r="E175" s="44">
        <f t="shared" si="81"/>
        <v>49346.65</v>
      </c>
      <c r="F175" s="73">
        <f>E175*11</f>
        <v>542813.15</v>
      </c>
      <c r="G175" s="74">
        <v>4</v>
      </c>
      <c r="H175" s="44">
        <f>C175/30*3*0.2+C175/30*1*0.8</f>
        <v>69085.310000000012</v>
      </c>
      <c r="I175" s="44">
        <f>C175/30*3*0.8+C175/30*1*0.2</f>
        <v>128301.29000000002</v>
      </c>
      <c r="J175" s="12">
        <v>45090</v>
      </c>
      <c r="K175" s="12">
        <v>45093</v>
      </c>
      <c r="L175" s="5" t="s">
        <v>228</v>
      </c>
      <c r="M175" s="5" t="s">
        <v>34</v>
      </c>
    </row>
    <row r="176" spans="1:13" x14ac:dyDescent="0.35">
      <c r="A176" s="1">
        <v>45079</v>
      </c>
      <c r="B176" s="72" t="s">
        <v>243</v>
      </c>
      <c r="C176" s="44">
        <v>326237</v>
      </c>
      <c r="D176" s="44">
        <f t="shared" ref="D176" si="82">C176/2</f>
        <v>163118.5</v>
      </c>
      <c r="E176" s="44">
        <f t="shared" ref="E176" si="83">C176/30</f>
        <v>10874.566666666668</v>
      </c>
      <c r="F176" s="73">
        <f>E176*3</f>
        <v>32623.700000000004</v>
      </c>
      <c r="G176" s="74">
        <v>12</v>
      </c>
      <c r="H176" s="44">
        <f>C176/30*12*0.8</f>
        <v>104395.84000000003</v>
      </c>
      <c r="I176" s="44">
        <f>C176/30*12*0.2</f>
        <v>26098.960000000006</v>
      </c>
      <c r="J176" s="12">
        <v>45092</v>
      </c>
      <c r="K176" s="12">
        <v>45103</v>
      </c>
      <c r="L176" s="5" t="s">
        <v>209</v>
      </c>
      <c r="M176" s="5" t="s">
        <v>56</v>
      </c>
    </row>
    <row r="177" spans="1:13" x14ac:dyDescent="0.35">
      <c r="A177" s="1">
        <v>45079</v>
      </c>
      <c r="B177" s="72" t="s">
        <v>130</v>
      </c>
      <c r="C177" s="44">
        <v>1555298.5</v>
      </c>
      <c r="D177" s="44">
        <f t="shared" si="80"/>
        <v>777649.25</v>
      </c>
      <c r="E177" s="44">
        <f t="shared" si="81"/>
        <v>51843.283333333333</v>
      </c>
      <c r="F177" s="73">
        <v>0</v>
      </c>
      <c r="G177" s="74">
        <v>15</v>
      </c>
      <c r="H177" s="44">
        <f>C177/30*3*0.2+C177/30*12*0.8</f>
        <v>528801.49</v>
      </c>
      <c r="I177" s="44">
        <f>C177/303*0.8+C177/30*12*0.2</f>
        <v>128530.27867986799</v>
      </c>
      <c r="J177" s="12">
        <v>45079</v>
      </c>
      <c r="K177" s="12">
        <v>45093</v>
      </c>
      <c r="L177" s="5" t="s">
        <v>227</v>
      </c>
      <c r="M177" s="5" t="s">
        <v>222</v>
      </c>
    </row>
    <row r="178" spans="1:13" x14ac:dyDescent="0.35">
      <c r="A178" s="1">
        <v>45079</v>
      </c>
      <c r="B178" s="80" t="s">
        <v>231</v>
      </c>
      <c r="C178" s="44">
        <v>485558</v>
      </c>
      <c r="D178" s="44">
        <f>C178/2</f>
        <v>242779</v>
      </c>
      <c r="E178" s="44">
        <f>C178/30</f>
        <v>16185.266666666666</v>
      </c>
      <c r="F178" s="44">
        <f>E178*13</f>
        <v>210408.46666666667</v>
      </c>
      <c r="G178" s="35">
        <v>2</v>
      </c>
      <c r="H178" s="44">
        <f>C178/30*2*0.8</f>
        <v>25896.426666666666</v>
      </c>
      <c r="I178" s="53">
        <f>C178/30*2*0.8</f>
        <v>25896.426666666666</v>
      </c>
      <c r="J178" s="12">
        <v>45085</v>
      </c>
      <c r="K178" s="12">
        <v>45086</v>
      </c>
      <c r="L178" s="5" t="s">
        <v>232</v>
      </c>
      <c r="M178" s="5" t="s">
        <v>233</v>
      </c>
    </row>
    <row r="179" spans="1:13" x14ac:dyDescent="0.35">
      <c r="A179" s="1">
        <v>45079</v>
      </c>
      <c r="B179" s="23" t="s">
        <v>237</v>
      </c>
      <c r="C179" s="73">
        <v>1859547.5</v>
      </c>
      <c r="D179" s="73">
        <f>C179/2</f>
        <v>929773.75</v>
      </c>
      <c r="E179" s="73">
        <f>C179/30</f>
        <v>61984.916666666664</v>
      </c>
      <c r="F179" s="73">
        <v>0</v>
      </c>
      <c r="G179" s="74">
        <v>15</v>
      </c>
      <c r="H179" s="44">
        <f>C179/30*3*0.2+C179/30*12*0.8</f>
        <v>632246.15</v>
      </c>
      <c r="I179" s="53">
        <f>C179/30*3*0.8+C179/30*12*0.2</f>
        <v>297527.60000000003</v>
      </c>
      <c r="J179" s="12">
        <v>45091</v>
      </c>
      <c r="K179" s="12">
        <v>45120</v>
      </c>
      <c r="L179" s="5" t="s">
        <v>238</v>
      </c>
      <c r="M179" s="5" t="s">
        <v>239</v>
      </c>
    </row>
    <row r="180" spans="1:13" x14ac:dyDescent="0.35">
      <c r="A180" s="1"/>
      <c r="C180" s="73"/>
      <c r="D180" s="73"/>
      <c r="E180" s="73"/>
      <c r="F180" s="73"/>
      <c r="G180" s="74">
        <f>SUM(G168:G179)</f>
        <v>100</v>
      </c>
      <c r="H180" s="44">
        <f>SUM(H168:H179)</f>
        <v>2707395.8900000006</v>
      </c>
      <c r="I180" s="53">
        <f>SUM(I168:I179)</f>
        <v>1456835.2686798682</v>
      </c>
      <c r="J180" s="12"/>
      <c r="K180" s="12"/>
      <c r="L180" s="5"/>
      <c r="M180" s="5"/>
    </row>
    <row r="181" spans="1:13" x14ac:dyDescent="0.35">
      <c r="A181" s="1"/>
      <c r="B181" s="60" t="s">
        <v>37</v>
      </c>
      <c r="C181" s="73"/>
      <c r="D181" s="73"/>
      <c r="E181" s="73"/>
      <c r="F181" s="73"/>
      <c r="G181" s="74"/>
      <c r="H181" s="68">
        <f>H165+H180</f>
        <v>13464055.75</v>
      </c>
      <c r="I181" s="53"/>
      <c r="J181" s="12"/>
      <c r="K181" s="5"/>
      <c r="L181" s="5"/>
      <c r="M181" s="5"/>
    </row>
    <row r="182" spans="1:13" x14ac:dyDescent="0.35">
      <c r="A182" s="1"/>
      <c r="B182" s="61" t="s">
        <v>50</v>
      </c>
      <c r="C182" s="73"/>
      <c r="D182" s="73"/>
      <c r="E182" s="73"/>
      <c r="F182" s="73"/>
      <c r="G182" s="74"/>
      <c r="H182" s="68">
        <f>H166+I180</f>
        <v>8123670.535346535</v>
      </c>
      <c r="I182" s="66">
        <f>I166-I180</f>
        <v>16876329.464653466</v>
      </c>
      <c r="J182" s="12"/>
      <c r="K182" s="5"/>
      <c r="L182" s="5"/>
      <c r="M182" s="5"/>
    </row>
    <row r="183" spans="1:13" s="45" customFormat="1" x14ac:dyDescent="0.35"/>
    <row r="184" spans="1:13" x14ac:dyDescent="0.35">
      <c r="A184" s="1">
        <v>45108</v>
      </c>
      <c r="B184" s="69" t="s">
        <v>109</v>
      </c>
      <c r="C184" s="44">
        <v>1972492</v>
      </c>
      <c r="D184" s="44">
        <f>C184/2</f>
        <v>986246</v>
      </c>
      <c r="E184" s="44">
        <f>C184/30</f>
        <v>65749.733333333337</v>
      </c>
      <c r="F184" s="44">
        <v>0</v>
      </c>
      <c r="G184" s="74">
        <v>15</v>
      </c>
      <c r="H184" s="44">
        <f>C184/30*15*0.8</f>
        <v>788996.8</v>
      </c>
      <c r="I184" s="44">
        <f>C184/30*15*0.2</f>
        <v>197249.2</v>
      </c>
      <c r="J184" s="81">
        <v>45073</v>
      </c>
      <c r="K184" s="81">
        <v>45093</v>
      </c>
      <c r="L184" s="69" t="s">
        <v>236</v>
      </c>
      <c r="M184" s="79" t="s">
        <v>235</v>
      </c>
    </row>
    <row r="185" spans="1:13" x14ac:dyDescent="0.35">
      <c r="A185" s="1">
        <v>45108</v>
      </c>
      <c r="B185" s="72" t="s">
        <v>252</v>
      </c>
      <c r="C185" s="73">
        <v>423303</v>
      </c>
      <c r="D185" s="73">
        <f>C185/2</f>
        <v>211651.5</v>
      </c>
      <c r="E185" s="73">
        <f>C185/30</f>
        <v>14110.1</v>
      </c>
      <c r="F185" s="73">
        <f>E185*7</f>
        <v>98770.7</v>
      </c>
      <c r="G185" s="74">
        <v>3</v>
      </c>
      <c r="H185" s="75">
        <f>C185/30*5*0.2+C185/30*3*0.8</f>
        <v>47974.340000000004</v>
      </c>
      <c r="I185" s="75">
        <f>C185/30*5*0.8+C185/30*3*0.2</f>
        <v>64906.460000000006</v>
      </c>
      <c r="J185" s="12">
        <v>45104</v>
      </c>
      <c r="K185" s="12">
        <v>45106</v>
      </c>
      <c r="L185" s="5" t="s">
        <v>251</v>
      </c>
      <c r="M185" s="5" t="s">
        <v>34</v>
      </c>
    </row>
    <row r="186" spans="1:13" x14ac:dyDescent="0.35">
      <c r="A186" s="1">
        <v>45108</v>
      </c>
      <c r="B186" s="72" t="s">
        <v>252</v>
      </c>
      <c r="C186" s="73">
        <v>0</v>
      </c>
      <c r="D186" s="73">
        <v>0</v>
      </c>
      <c r="E186" s="73">
        <v>0</v>
      </c>
      <c r="F186" s="73">
        <v>0</v>
      </c>
      <c r="G186" s="35">
        <v>1</v>
      </c>
      <c r="H186" s="65">
        <v>0</v>
      </c>
      <c r="I186" s="65">
        <v>0</v>
      </c>
      <c r="J186" s="14">
        <v>45107</v>
      </c>
      <c r="K186" s="14">
        <v>45107</v>
      </c>
      <c r="L186" s="3" t="s">
        <v>264</v>
      </c>
      <c r="M186" s="3" t="s">
        <v>34</v>
      </c>
    </row>
    <row r="187" spans="1:13" x14ac:dyDescent="0.35">
      <c r="A187" s="1">
        <v>45108</v>
      </c>
      <c r="B187" s="72" t="s">
        <v>252</v>
      </c>
      <c r="C187" s="73">
        <v>0</v>
      </c>
      <c r="D187" s="73">
        <v>0</v>
      </c>
      <c r="E187" s="73">
        <v>0</v>
      </c>
      <c r="F187" s="73">
        <v>0</v>
      </c>
      <c r="G187" s="35">
        <v>2</v>
      </c>
      <c r="H187" s="65">
        <v>0</v>
      </c>
      <c r="I187" s="65">
        <v>0</v>
      </c>
      <c r="J187" s="14">
        <v>45110</v>
      </c>
      <c r="K187" s="14">
        <v>45111</v>
      </c>
      <c r="L187" s="3" t="s">
        <v>262</v>
      </c>
      <c r="M187" s="3" t="s">
        <v>258</v>
      </c>
    </row>
    <row r="188" spans="1:13" x14ac:dyDescent="0.35">
      <c r="A188" s="1">
        <v>45108</v>
      </c>
      <c r="B188" s="72" t="s">
        <v>252</v>
      </c>
      <c r="C188" s="73">
        <v>0</v>
      </c>
      <c r="D188" s="73">
        <v>0</v>
      </c>
      <c r="E188" s="73">
        <v>0</v>
      </c>
      <c r="F188" s="73">
        <v>0</v>
      </c>
      <c r="G188" s="35">
        <v>2</v>
      </c>
      <c r="H188" s="65">
        <v>0</v>
      </c>
      <c r="I188" s="65">
        <v>0</v>
      </c>
      <c r="J188" s="14">
        <v>45113</v>
      </c>
      <c r="K188" s="14">
        <v>45114</v>
      </c>
      <c r="L188" s="3" t="s">
        <v>263</v>
      </c>
      <c r="M188" s="3" t="s">
        <v>34</v>
      </c>
    </row>
    <row r="189" spans="1:13" x14ac:dyDescent="0.35">
      <c r="A189" s="1">
        <v>45108</v>
      </c>
      <c r="B189" s="43" t="s">
        <v>141</v>
      </c>
      <c r="C189" s="44">
        <v>735196</v>
      </c>
      <c r="D189" s="44">
        <f>C189/2</f>
        <v>367598</v>
      </c>
      <c r="E189" s="44">
        <f>C189/30</f>
        <v>24506.533333333333</v>
      </c>
      <c r="F189" s="44">
        <v>0</v>
      </c>
      <c r="G189" s="35">
        <v>15</v>
      </c>
      <c r="H189" s="44">
        <f>C189/30*15*0.6</f>
        <v>220558.8</v>
      </c>
      <c r="I189" s="44">
        <f>C189/30*15*0.4</f>
        <v>147039.20000000001</v>
      </c>
      <c r="J189" s="12">
        <v>45046</v>
      </c>
      <c r="K189" s="12">
        <v>45070</v>
      </c>
      <c r="L189" s="5" t="s">
        <v>164</v>
      </c>
      <c r="M189" s="5" t="s">
        <v>143</v>
      </c>
    </row>
    <row r="190" spans="1:13" x14ac:dyDescent="0.35">
      <c r="A190" s="1">
        <v>45108</v>
      </c>
      <c r="B190" s="43" t="s">
        <v>192</v>
      </c>
      <c r="C190" s="44">
        <v>1419886.5</v>
      </c>
      <c r="D190" s="44">
        <f t="shared" ref="D190:D201" si="84">C190/2</f>
        <v>709943.25</v>
      </c>
      <c r="E190" s="44">
        <f t="shared" ref="E190:E201" si="85">C190/30</f>
        <v>47329.55</v>
      </c>
      <c r="F190" s="44">
        <v>0</v>
      </c>
      <c r="G190" s="35">
        <v>15</v>
      </c>
      <c r="H190" s="44">
        <f>C190/30*6*0.6</f>
        <v>170386.38000000003</v>
      </c>
      <c r="I190" s="44">
        <f>C190/30*15*0.4</f>
        <v>283977.3</v>
      </c>
      <c r="J190" s="12">
        <v>45090</v>
      </c>
      <c r="K190" s="12">
        <v>45118</v>
      </c>
      <c r="L190" s="5" t="s">
        <v>229</v>
      </c>
      <c r="M190" s="5" t="s">
        <v>230</v>
      </c>
    </row>
    <row r="191" spans="1:13" x14ac:dyDescent="0.35">
      <c r="A191" s="1">
        <v>45108</v>
      </c>
      <c r="B191" s="72" t="s">
        <v>253</v>
      </c>
      <c r="C191" s="44">
        <v>490595</v>
      </c>
      <c r="D191" s="44">
        <f t="shared" si="84"/>
        <v>245297.5</v>
      </c>
      <c r="E191" s="44">
        <f t="shared" si="85"/>
        <v>16353.166666666666</v>
      </c>
      <c r="F191" s="73">
        <f>E191*13</f>
        <v>212591.16666666666</v>
      </c>
      <c r="G191" s="74">
        <v>2</v>
      </c>
      <c r="H191" s="44">
        <f>C191/30*2*0.2</f>
        <v>6541.2666666666664</v>
      </c>
      <c r="I191" s="44">
        <f>C191/30*2*0.8</f>
        <v>26165.066666666666</v>
      </c>
      <c r="J191" s="12">
        <v>45106</v>
      </c>
      <c r="K191" s="12">
        <v>45107</v>
      </c>
      <c r="L191" s="5" t="s">
        <v>254</v>
      </c>
      <c r="M191" s="5" t="s">
        <v>34</v>
      </c>
    </row>
    <row r="192" spans="1:13" x14ac:dyDescent="0.35">
      <c r="A192" s="1">
        <v>45108</v>
      </c>
      <c r="B192" s="72" t="s">
        <v>255</v>
      </c>
      <c r="C192" s="44">
        <v>1487680.5</v>
      </c>
      <c r="D192" s="44">
        <f t="shared" si="84"/>
        <v>743840.25</v>
      </c>
      <c r="E192" s="44">
        <f t="shared" si="85"/>
        <v>49589.35</v>
      </c>
      <c r="F192" s="73">
        <f>E192*13</f>
        <v>644661.54999999993</v>
      </c>
      <c r="G192" s="74">
        <v>2</v>
      </c>
      <c r="H192" s="44">
        <f>C192/30*2*0.2</f>
        <v>19835.740000000002</v>
      </c>
      <c r="I192" s="44">
        <f>C192/30*2*0.8</f>
        <v>79342.960000000006</v>
      </c>
      <c r="J192" s="12">
        <v>45106</v>
      </c>
      <c r="K192" s="12">
        <v>45107</v>
      </c>
      <c r="L192" s="5" t="s">
        <v>256</v>
      </c>
      <c r="M192" s="5" t="s">
        <v>34</v>
      </c>
    </row>
    <row r="193" spans="1:13" x14ac:dyDescent="0.35">
      <c r="A193" s="1">
        <v>45108</v>
      </c>
      <c r="B193" s="72" t="s">
        <v>35</v>
      </c>
      <c r="C193" s="44">
        <v>570858</v>
      </c>
      <c r="D193" s="44">
        <f t="shared" si="84"/>
        <v>285429</v>
      </c>
      <c r="E193" s="44">
        <f t="shared" si="85"/>
        <v>19028.599999999999</v>
      </c>
      <c r="F193" s="73">
        <f>E193*14</f>
        <v>266400.39999999997</v>
      </c>
      <c r="G193" s="74">
        <v>1</v>
      </c>
      <c r="H193" s="44">
        <f>C193/30*1*0.2</f>
        <v>3805.72</v>
      </c>
      <c r="I193" s="44">
        <f>C193/30*1*0.8</f>
        <v>15222.88</v>
      </c>
      <c r="J193" s="12">
        <v>45106</v>
      </c>
      <c r="K193" s="12">
        <v>45106</v>
      </c>
      <c r="L193" s="5" t="s">
        <v>257</v>
      </c>
      <c r="M193" s="5" t="s">
        <v>258</v>
      </c>
    </row>
    <row r="194" spans="1:13" x14ac:dyDescent="0.35">
      <c r="A194" s="1">
        <v>45108</v>
      </c>
      <c r="B194" s="72" t="s">
        <v>247</v>
      </c>
      <c r="C194" s="44">
        <v>339955</v>
      </c>
      <c r="D194" s="44">
        <f>C194/2</f>
        <v>169977.5</v>
      </c>
      <c r="E194" s="44">
        <f>C194/30</f>
        <v>11331.833333333334</v>
      </c>
      <c r="F194" s="73">
        <f>E194*13</f>
        <v>147313.83333333334</v>
      </c>
      <c r="G194" s="74">
        <v>2</v>
      </c>
      <c r="H194" s="44">
        <f>C194/30*2*0.2</f>
        <v>4532.7333333333336</v>
      </c>
      <c r="I194" s="53">
        <f>C194/30*2*0.8</f>
        <v>18130.933333333334</v>
      </c>
      <c r="J194" s="12">
        <v>45099</v>
      </c>
      <c r="K194" s="12">
        <v>45100</v>
      </c>
      <c r="L194" s="5" t="s">
        <v>248</v>
      </c>
      <c r="M194" s="5" t="s">
        <v>34</v>
      </c>
    </row>
    <row r="195" spans="1:13" x14ac:dyDescent="0.35">
      <c r="A195" s="1">
        <v>45108</v>
      </c>
      <c r="B195" s="72" t="s">
        <v>171</v>
      </c>
      <c r="C195" s="44">
        <v>320944</v>
      </c>
      <c r="D195" s="44">
        <f>C195/2</f>
        <v>160472</v>
      </c>
      <c r="E195" s="44">
        <f>C195/30</f>
        <v>10698.133333333333</v>
      </c>
      <c r="F195" s="73">
        <f>E195*13</f>
        <v>139075.73333333334</v>
      </c>
      <c r="G195" s="74">
        <v>2</v>
      </c>
      <c r="H195" s="44">
        <f>C195/30*2*0.2</f>
        <v>4279.2533333333331</v>
      </c>
      <c r="I195" s="53">
        <f>C195/30*2*0.8</f>
        <v>17117.013333333332</v>
      </c>
      <c r="J195" s="12">
        <v>45111</v>
      </c>
      <c r="K195" s="12">
        <v>45112</v>
      </c>
      <c r="L195" s="5" t="s">
        <v>259</v>
      </c>
      <c r="M195" s="5" t="s">
        <v>34</v>
      </c>
    </row>
    <row r="196" spans="1:13" x14ac:dyDescent="0.35">
      <c r="A196" s="1">
        <v>45108</v>
      </c>
      <c r="B196" s="72" t="s">
        <v>87</v>
      </c>
      <c r="C196" s="73">
        <v>1480399.5</v>
      </c>
      <c r="D196" s="73">
        <f>C196/2</f>
        <v>740199.75</v>
      </c>
      <c r="E196" s="73">
        <f>C196/30</f>
        <v>49346.65</v>
      </c>
      <c r="F196" s="73">
        <f>E196*12</f>
        <v>592159.80000000005</v>
      </c>
      <c r="G196" s="74">
        <v>3</v>
      </c>
      <c r="H196" s="44">
        <f>C196/30*3*0.8</f>
        <v>118431.96000000002</v>
      </c>
      <c r="I196" s="53">
        <f>C196/30*3*0.2</f>
        <v>29607.990000000005</v>
      </c>
      <c r="J196" s="12">
        <v>45111</v>
      </c>
      <c r="K196" s="12">
        <v>45113</v>
      </c>
      <c r="L196" s="5" t="s">
        <v>260</v>
      </c>
      <c r="M196" s="5" t="s">
        <v>34</v>
      </c>
    </row>
    <row r="197" spans="1:13" x14ac:dyDescent="0.35">
      <c r="A197" s="1">
        <v>45108</v>
      </c>
      <c r="B197" s="43" t="s">
        <v>249</v>
      </c>
      <c r="C197" s="73">
        <v>545289</v>
      </c>
      <c r="D197" s="73">
        <f t="shared" si="84"/>
        <v>272644.5</v>
      </c>
      <c r="E197" s="73">
        <f t="shared" si="85"/>
        <v>18176.3</v>
      </c>
      <c r="F197" s="73">
        <f>E197*12</f>
        <v>218115.59999999998</v>
      </c>
      <c r="G197" s="74">
        <v>3</v>
      </c>
      <c r="H197" s="44">
        <f>C197/30*3*0.2</f>
        <v>10905.779999999999</v>
      </c>
      <c r="I197" s="53">
        <f>C197/30*3*0.8</f>
        <v>43623.119999999995</v>
      </c>
      <c r="J197" s="12">
        <v>45103</v>
      </c>
      <c r="K197" s="12">
        <v>45105</v>
      </c>
      <c r="L197" s="5" t="s">
        <v>244</v>
      </c>
      <c r="M197" s="5" t="s">
        <v>34</v>
      </c>
    </row>
    <row r="198" spans="1:13" x14ac:dyDescent="0.35">
      <c r="A198" s="1">
        <v>45108</v>
      </c>
      <c r="B198" s="72" t="s">
        <v>243</v>
      </c>
      <c r="C198" s="44">
        <v>326237</v>
      </c>
      <c r="D198" s="73">
        <f t="shared" ref="D198" si="86">C198/2</f>
        <v>163118.5</v>
      </c>
      <c r="E198" s="73">
        <f t="shared" ref="E198:E199" si="87">C198/30</f>
        <v>10874.566666666668</v>
      </c>
      <c r="F198" s="73">
        <f>E198*13</f>
        <v>141369.36666666667</v>
      </c>
      <c r="G198" s="74">
        <v>1</v>
      </c>
      <c r="H198" s="44">
        <f>C198/30*2*0.8</f>
        <v>17399.306666666667</v>
      </c>
      <c r="I198" s="53">
        <f>C198/30*2*0.2</f>
        <v>4349.8266666666668</v>
      </c>
      <c r="J198" s="12">
        <v>45104</v>
      </c>
      <c r="K198" s="12">
        <v>45104</v>
      </c>
      <c r="L198" s="5" t="s">
        <v>209</v>
      </c>
      <c r="M198" s="5" t="s">
        <v>56</v>
      </c>
    </row>
    <row r="199" spans="1:13" x14ac:dyDescent="0.35">
      <c r="A199" s="1">
        <v>45108</v>
      </c>
      <c r="B199" s="72" t="s">
        <v>243</v>
      </c>
      <c r="C199" s="73">
        <v>0</v>
      </c>
      <c r="D199" s="73">
        <v>0</v>
      </c>
      <c r="E199" s="73">
        <f t="shared" si="87"/>
        <v>0</v>
      </c>
      <c r="F199" s="73">
        <v>0</v>
      </c>
      <c r="G199" s="74">
        <v>1</v>
      </c>
      <c r="H199" s="44">
        <v>0</v>
      </c>
      <c r="I199" s="53">
        <v>0</v>
      </c>
      <c r="J199" s="12">
        <v>45105</v>
      </c>
      <c r="K199" s="12">
        <v>45105</v>
      </c>
      <c r="L199" s="5" t="s">
        <v>209</v>
      </c>
      <c r="M199" s="5" t="s">
        <v>56</v>
      </c>
    </row>
    <row r="200" spans="1:13" x14ac:dyDescent="0.35">
      <c r="A200" s="1">
        <v>45108</v>
      </c>
      <c r="B200" s="43" t="s">
        <v>261</v>
      </c>
      <c r="C200" s="73">
        <v>493703</v>
      </c>
      <c r="D200" s="73">
        <f t="shared" si="84"/>
        <v>246851.5</v>
      </c>
      <c r="E200" s="73">
        <f t="shared" si="85"/>
        <v>16456.766666666666</v>
      </c>
      <c r="F200" s="73">
        <f>E200*14</f>
        <v>230394.73333333334</v>
      </c>
      <c r="G200" s="74">
        <v>1</v>
      </c>
      <c r="H200" s="44">
        <f>C200/30*1*0.2</f>
        <v>3291.3533333333335</v>
      </c>
      <c r="I200" s="53">
        <f>C200/30*1*0.8</f>
        <v>13165.413333333334</v>
      </c>
      <c r="J200" s="12">
        <v>45111</v>
      </c>
      <c r="K200" s="12">
        <v>45111</v>
      </c>
      <c r="L200" s="5" t="s">
        <v>278</v>
      </c>
      <c r="M200" s="5" t="s">
        <v>34</v>
      </c>
    </row>
    <row r="201" spans="1:13" x14ac:dyDescent="0.35">
      <c r="A201" s="1">
        <v>45108</v>
      </c>
      <c r="B201" s="43" t="s">
        <v>237</v>
      </c>
      <c r="C201" s="73">
        <v>1859547.5</v>
      </c>
      <c r="D201" s="73">
        <f t="shared" si="84"/>
        <v>929773.75</v>
      </c>
      <c r="E201" s="73">
        <f t="shared" si="85"/>
        <v>61984.916666666664</v>
      </c>
      <c r="F201" s="73">
        <v>0</v>
      </c>
      <c r="G201" s="74">
        <v>15</v>
      </c>
      <c r="H201" s="44">
        <f>C201/30*15*0.8</f>
        <v>743819</v>
      </c>
      <c r="I201" s="53">
        <f>C201/30*15*0.2</f>
        <v>185954.75</v>
      </c>
      <c r="J201" s="12">
        <v>45091</v>
      </c>
      <c r="K201" s="12">
        <v>45120</v>
      </c>
      <c r="L201" s="5" t="s">
        <v>238</v>
      </c>
      <c r="M201" s="5" t="s">
        <v>239</v>
      </c>
    </row>
    <row r="202" spans="1:13" x14ac:dyDescent="0.35">
      <c r="A202" s="1">
        <v>45108</v>
      </c>
      <c r="B202" s="72" t="s">
        <v>245</v>
      </c>
      <c r="C202" s="73">
        <v>0</v>
      </c>
      <c r="D202" s="73">
        <v>0</v>
      </c>
      <c r="E202" s="73">
        <v>0</v>
      </c>
      <c r="F202" s="73">
        <v>0</v>
      </c>
      <c r="G202" s="74">
        <v>3</v>
      </c>
      <c r="H202" s="44">
        <v>0</v>
      </c>
      <c r="I202" s="44">
        <v>0</v>
      </c>
      <c r="J202" s="12">
        <v>45103</v>
      </c>
      <c r="K202" s="12">
        <v>45105</v>
      </c>
      <c r="L202" s="5" t="s">
        <v>250</v>
      </c>
      <c r="M202" s="5" t="s">
        <v>34</v>
      </c>
    </row>
    <row r="203" spans="1:13" x14ac:dyDescent="0.35">
      <c r="A203" s="1">
        <v>45108</v>
      </c>
      <c r="B203" s="72" t="s">
        <v>245</v>
      </c>
      <c r="C203" s="44">
        <v>1879200</v>
      </c>
      <c r="D203" s="73">
        <f>C203/2</f>
        <v>939600</v>
      </c>
      <c r="E203" s="73">
        <f>C203/30</f>
        <v>62640</v>
      </c>
      <c r="F203" s="73">
        <f>E203*11</f>
        <v>689040</v>
      </c>
      <c r="G203" s="74">
        <v>1</v>
      </c>
      <c r="H203" s="44">
        <f>C203/30*2*0.2+C203/30*2*0.8</f>
        <v>125280</v>
      </c>
      <c r="I203" s="44">
        <f>C203/30*2*0.2+C203/30*2*0.8</f>
        <v>125280</v>
      </c>
      <c r="J203" s="12">
        <v>45100</v>
      </c>
      <c r="K203" s="12">
        <v>45100</v>
      </c>
      <c r="L203" s="5" t="s">
        <v>246</v>
      </c>
      <c r="M203" s="5" t="s">
        <v>34</v>
      </c>
    </row>
    <row r="204" spans="1:13" x14ac:dyDescent="0.35">
      <c r="A204" s="1"/>
      <c r="C204" s="73"/>
      <c r="D204" s="73"/>
      <c r="E204" s="73"/>
      <c r="F204" s="73"/>
      <c r="G204" s="74"/>
      <c r="H204" s="44">
        <f>SUM(H184:H203)</f>
        <v>2286038.4333333336</v>
      </c>
      <c r="I204" s="44">
        <f>SUM(I184:I203)</f>
        <v>1251132.1133333333</v>
      </c>
      <c r="J204" s="12"/>
      <c r="K204" s="12"/>
      <c r="L204" s="5"/>
      <c r="M204" s="5"/>
    </row>
    <row r="205" spans="1:13" x14ac:dyDescent="0.35">
      <c r="A205" s="1"/>
      <c r="B205" s="60" t="s">
        <v>37</v>
      </c>
      <c r="C205" s="73"/>
      <c r="D205" s="73"/>
      <c r="E205" s="73"/>
      <c r="F205" s="73"/>
      <c r="G205" s="74"/>
      <c r="H205" s="68">
        <f>H181+H204</f>
        <v>15750094.183333334</v>
      </c>
      <c r="I205" s="53"/>
      <c r="J205" s="12"/>
      <c r="K205" s="5"/>
      <c r="L205" s="5"/>
      <c r="M205" s="5"/>
    </row>
    <row r="206" spans="1:13" x14ac:dyDescent="0.35">
      <c r="A206" s="1"/>
      <c r="B206" s="61" t="s">
        <v>50</v>
      </c>
      <c r="C206" s="73"/>
      <c r="D206" s="73"/>
      <c r="E206" s="73"/>
      <c r="F206" s="73"/>
      <c r="G206" s="74"/>
      <c r="H206" s="65"/>
      <c r="I206" s="66">
        <f>I182-I204</f>
        <v>15625197.351320133</v>
      </c>
      <c r="J206" s="12"/>
      <c r="K206" s="5"/>
      <c r="L206" s="5"/>
      <c r="M206" s="5"/>
    </row>
    <row r="207" spans="1:13" x14ac:dyDescent="0.35">
      <c r="A207" s="1"/>
      <c r="B207" s="61"/>
      <c r="C207" s="73"/>
      <c r="D207" s="73"/>
      <c r="E207" s="73"/>
      <c r="F207" s="73"/>
      <c r="G207" s="74"/>
      <c r="H207" s="68">
        <f>H182+I204</f>
        <v>9374802.6486798674</v>
      </c>
      <c r="I207" s="66"/>
      <c r="J207" s="12"/>
      <c r="K207" s="5"/>
      <c r="L207" s="5"/>
      <c r="M207" s="5"/>
    </row>
    <row r="208" spans="1:13" s="45" customFormat="1" x14ac:dyDescent="0.35"/>
    <row r="209" spans="1:13" x14ac:dyDescent="0.35">
      <c r="A209" s="1">
        <v>45109</v>
      </c>
      <c r="B209" s="69" t="s">
        <v>109</v>
      </c>
      <c r="C209" s="44">
        <v>1972492</v>
      </c>
      <c r="D209" s="44">
        <f>C209/2</f>
        <v>986246</v>
      </c>
      <c r="E209" s="44">
        <f>C209/30</f>
        <v>65749.733333333337</v>
      </c>
      <c r="F209" s="44">
        <f>E209*12</f>
        <v>788996.8</v>
      </c>
      <c r="G209" s="74">
        <v>3</v>
      </c>
      <c r="H209" s="44">
        <f>C209/30*3*0.6</f>
        <v>118349.52</v>
      </c>
      <c r="I209" s="44">
        <f>C209/30*3*0.4</f>
        <v>78899.680000000008</v>
      </c>
      <c r="J209" s="81">
        <v>45073</v>
      </c>
      <c r="K209" s="81">
        <v>45093</v>
      </c>
      <c r="L209" s="69" t="s">
        <v>236</v>
      </c>
      <c r="M209" s="69" t="s">
        <v>235</v>
      </c>
    </row>
    <row r="210" spans="1:13" x14ac:dyDescent="0.35">
      <c r="A210" s="1">
        <v>45109</v>
      </c>
      <c r="B210" s="69" t="s">
        <v>269</v>
      </c>
      <c r="C210" s="73">
        <v>423303</v>
      </c>
      <c r="D210" s="44">
        <f>C210/2</f>
        <v>211651.5</v>
      </c>
      <c r="E210" s="44">
        <f>C210/30</f>
        <v>14110.1</v>
      </c>
      <c r="F210" s="44">
        <f>E210*11</f>
        <v>155211.1</v>
      </c>
      <c r="G210" s="74">
        <v>2</v>
      </c>
      <c r="H210" s="44">
        <f>C210/30*4*0.2</f>
        <v>11288.080000000002</v>
      </c>
      <c r="I210" s="44">
        <f>C210/30*4*0.8</f>
        <v>45152.320000000007</v>
      </c>
      <c r="J210" s="81">
        <v>45117</v>
      </c>
      <c r="K210" s="81">
        <v>45118</v>
      </c>
      <c r="L210" s="69" t="s">
        <v>270</v>
      </c>
      <c r="M210" s="5" t="s">
        <v>258</v>
      </c>
    </row>
    <row r="211" spans="1:13" x14ac:dyDescent="0.35">
      <c r="A211" s="1">
        <v>45109</v>
      </c>
      <c r="B211" s="69" t="s">
        <v>269</v>
      </c>
      <c r="C211" s="44">
        <v>0</v>
      </c>
      <c r="D211" s="44">
        <v>0</v>
      </c>
      <c r="E211" s="44">
        <v>0</v>
      </c>
      <c r="F211" s="44">
        <v>0</v>
      </c>
      <c r="G211" s="74">
        <v>2</v>
      </c>
      <c r="H211" s="44">
        <v>0</v>
      </c>
      <c r="I211" s="44">
        <v>0</v>
      </c>
      <c r="J211" s="81">
        <v>45119</v>
      </c>
      <c r="K211" s="81">
        <v>45120</v>
      </c>
      <c r="L211" s="69" t="s">
        <v>271</v>
      </c>
      <c r="M211" s="5" t="s">
        <v>258</v>
      </c>
    </row>
    <row r="212" spans="1:13" x14ac:dyDescent="0.35">
      <c r="A212" s="1">
        <v>45109</v>
      </c>
      <c r="B212" s="43" t="s">
        <v>141</v>
      </c>
      <c r="C212" s="44">
        <v>735196</v>
      </c>
      <c r="D212" s="44">
        <f>C212/2</f>
        <v>367598</v>
      </c>
      <c r="E212" s="44">
        <f>C212/30</f>
        <v>24506.533333333333</v>
      </c>
      <c r="F212" s="44">
        <f>E212*12</f>
        <v>294078.40000000002</v>
      </c>
      <c r="G212" s="35">
        <v>3</v>
      </c>
      <c r="H212" s="44">
        <f>C212/30*3*0.6</f>
        <v>44111.76</v>
      </c>
      <c r="I212" s="44">
        <f>C212/30*3*0.4</f>
        <v>29407.840000000004</v>
      </c>
      <c r="J212" s="12" t="s">
        <v>272</v>
      </c>
      <c r="K212" s="12">
        <v>45122</v>
      </c>
      <c r="L212" s="5" t="s">
        <v>273</v>
      </c>
      <c r="M212" s="5" t="s">
        <v>274</v>
      </c>
    </row>
    <row r="213" spans="1:13" x14ac:dyDescent="0.35">
      <c r="A213" s="1">
        <v>45109</v>
      </c>
      <c r="B213" s="72" t="s">
        <v>265</v>
      </c>
      <c r="C213" s="73">
        <v>307504</v>
      </c>
      <c r="D213" s="44">
        <f>C213/2</f>
        <v>153752</v>
      </c>
      <c r="E213" s="44">
        <f>C213/30</f>
        <v>10250.133333333333</v>
      </c>
      <c r="F213" s="73">
        <f>E213*14</f>
        <v>143501.86666666667</v>
      </c>
      <c r="G213" s="74">
        <v>1</v>
      </c>
      <c r="H213" s="65">
        <f>C213/30*1*0.2</f>
        <v>2050.0266666666666</v>
      </c>
      <c r="I213" s="53">
        <f>C213/30*1/0.8</f>
        <v>12812.666666666666</v>
      </c>
      <c r="J213" s="12">
        <v>45117</v>
      </c>
      <c r="K213" s="12">
        <v>45117</v>
      </c>
      <c r="L213" s="5" t="s">
        <v>266</v>
      </c>
      <c r="M213" s="5" t="s">
        <v>34</v>
      </c>
    </row>
    <row r="214" spans="1:13" x14ac:dyDescent="0.35">
      <c r="A214" s="1">
        <v>45109</v>
      </c>
      <c r="B214" s="43" t="s">
        <v>192</v>
      </c>
      <c r="C214" s="44">
        <v>1419886.5</v>
      </c>
      <c r="D214" s="44">
        <f>C214/2</f>
        <v>709943.25</v>
      </c>
      <c r="E214" s="44">
        <f>C214/30</f>
        <v>47329.55</v>
      </c>
      <c r="F214" s="44">
        <f>E214*10</f>
        <v>473295.5</v>
      </c>
      <c r="G214" s="35">
        <v>5</v>
      </c>
      <c r="H214" s="44">
        <f>C214/30*5*0.6</f>
        <v>141988.65</v>
      </c>
      <c r="I214" s="44">
        <f>C214/30*5*0.4</f>
        <v>94659.1</v>
      </c>
      <c r="J214" s="12">
        <v>45090</v>
      </c>
      <c r="K214" s="12">
        <v>45118</v>
      </c>
      <c r="L214" s="5" t="s">
        <v>229</v>
      </c>
      <c r="M214" s="5" t="s">
        <v>277</v>
      </c>
    </row>
    <row r="215" spans="1:13" x14ac:dyDescent="0.35">
      <c r="A215" s="1">
        <v>45109</v>
      </c>
      <c r="B215" s="72" t="s">
        <v>275</v>
      </c>
      <c r="C215" s="73">
        <v>1148071.5</v>
      </c>
      <c r="D215" s="44">
        <f t="shared" ref="D215:D217" si="88">C215/2</f>
        <v>574035.75</v>
      </c>
      <c r="E215" s="44">
        <f t="shared" ref="E215:E217" si="89">C215/30</f>
        <v>38269.050000000003</v>
      </c>
      <c r="F215" s="44">
        <f>E215*13</f>
        <v>497497.65</v>
      </c>
      <c r="G215" s="74">
        <v>2</v>
      </c>
      <c r="H215" s="44">
        <f>C215/30*2*0.2</f>
        <v>15307.620000000003</v>
      </c>
      <c r="I215" s="53">
        <f>C215/30*2*0.8</f>
        <v>61230.48000000001</v>
      </c>
      <c r="J215" s="12">
        <v>45120</v>
      </c>
      <c r="K215" s="12">
        <v>45121</v>
      </c>
      <c r="L215" s="5" t="s">
        <v>276</v>
      </c>
      <c r="M215" s="5" t="s">
        <v>34</v>
      </c>
    </row>
    <row r="216" spans="1:13" x14ac:dyDescent="0.35">
      <c r="A216" s="1">
        <v>45109</v>
      </c>
      <c r="B216" s="72" t="s">
        <v>267</v>
      </c>
      <c r="C216" s="73">
        <v>293000</v>
      </c>
      <c r="D216" s="44">
        <f t="shared" si="88"/>
        <v>146500</v>
      </c>
      <c r="E216" s="44">
        <f t="shared" si="89"/>
        <v>9766.6666666666661</v>
      </c>
      <c r="F216" s="44">
        <f>E216*14</f>
        <v>136733.33333333331</v>
      </c>
      <c r="G216" s="74">
        <v>1</v>
      </c>
      <c r="H216" s="53">
        <f>C216/30*1*0.2</f>
        <v>1953.3333333333333</v>
      </c>
      <c r="I216" s="53">
        <f>C216/30*1*0.8</f>
        <v>7813.333333333333</v>
      </c>
      <c r="J216" s="12">
        <v>45117</v>
      </c>
      <c r="K216" s="12">
        <v>45108</v>
      </c>
      <c r="L216" s="5" t="s">
        <v>268</v>
      </c>
      <c r="M216" s="5" t="s">
        <v>34</v>
      </c>
    </row>
    <row r="217" spans="1:13" x14ac:dyDescent="0.35">
      <c r="A217" s="1">
        <v>45109</v>
      </c>
      <c r="B217" s="43" t="s">
        <v>279</v>
      </c>
      <c r="C217" s="73">
        <v>1461153.5</v>
      </c>
      <c r="D217" s="44">
        <f t="shared" si="88"/>
        <v>730576.75</v>
      </c>
      <c r="E217" s="44">
        <f t="shared" si="89"/>
        <v>48705.116666666669</v>
      </c>
      <c r="F217" s="44">
        <f>E217*12</f>
        <v>584461.4</v>
      </c>
      <c r="G217" s="74">
        <v>3</v>
      </c>
      <c r="H217" s="53">
        <f>C217/30*3*0.2</f>
        <v>29223.070000000003</v>
      </c>
      <c r="I217" s="53">
        <f>C217/30*3*0.8</f>
        <v>116892.28000000001</v>
      </c>
      <c r="J217" s="12">
        <v>45125</v>
      </c>
      <c r="K217" s="12">
        <v>45127</v>
      </c>
      <c r="L217" s="5" t="s">
        <v>280</v>
      </c>
      <c r="M217" s="5" t="s">
        <v>281</v>
      </c>
    </row>
    <row r="218" spans="1:13" x14ac:dyDescent="0.35">
      <c r="A218" s="1"/>
      <c r="C218" s="73"/>
      <c r="D218" s="73"/>
      <c r="E218" s="73"/>
      <c r="F218" s="73"/>
      <c r="G218" s="74"/>
      <c r="H218" s="53">
        <f>SUM(H209:H217)</f>
        <v>364272.06</v>
      </c>
      <c r="I218" s="53">
        <f>SUM(I209:I217)</f>
        <v>446867.7</v>
      </c>
      <c r="J218" s="12"/>
      <c r="K218" s="12"/>
      <c r="L218" s="5"/>
      <c r="M218" s="5"/>
    </row>
    <row r="219" spans="1:13" x14ac:dyDescent="0.35">
      <c r="A219" s="1"/>
      <c r="B219" s="60" t="s">
        <v>37</v>
      </c>
      <c r="C219" s="73"/>
      <c r="D219" s="73"/>
      <c r="E219" s="73"/>
      <c r="F219" s="73"/>
      <c r="G219" s="74"/>
      <c r="H219" s="68">
        <f>H205+H218</f>
        <v>16114366.243333334</v>
      </c>
      <c r="I219" s="53"/>
      <c r="J219" s="12"/>
      <c r="K219" s="5"/>
      <c r="L219" s="5"/>
      <c r="M219" s="5"/>
    </row>
    <row r="220" spans="1:13" x14ac:dyDescent="0.35">
      <c r="A220" s="1"/>
      <c r="B220" s="61" t="s">
        <v>50</v>
      </c>
      <c r="C220" s="73"/>
      <c r="D220" s="73"/>
      <c r="E220" s="73"/>
      <c r="F220" s="73"/>
      <c r="G220" s="74"/>
      <c r="H220" s="68">
        <f>H207+I218</f>
        <v>9821670.3486798666</v>
      </c>
      <c r="I220" s="66">
        <f>I206-I218</f>
        <v>15178329.651320133</v>
      </c>
      <c r="J220" s="12"/>
      <c r="K220" s="5"/>
      <c r="L220" s="5"/>
      <c r="M220" s="5"/>
    </row>
    <row r="221" spans="1:13" s="45" customFormat="1" x14ac:dyDescent="0.35"/>
    <row r="222" spans="1:13" x14ac:dyDescent="0.35">
      <c r="A222" s="1">
        <v>45139</v>
      </c>
      <c r="B222" s="80" t="s">
        <v>109</v>
      </c>
      <c r="C222" s="73">
        <v>1989572</v>
      </c>
      <c r="D222" s="73">
        <f>C222/2</f>
        <v>994786</v>
      </c>
      <c r="E222" s="73">
        <f>C222/30</f>
        <v>66319.066666666666</v>
      </c>
      <c r="F222" s="73">
        <f>E222*12</f>
        <v>795828.8</v>
      </c>
      <c r="G222" s="74">
        <v>3</v>
      </c>
      <c r="H222" s="53">
        <f>C222/30*3*0.2</f>
        <v>39791.440000000002</v>
      </c>
      <c r="I222" s="53">
        <f>C222/30*3*0.8</f>
        <v>159165.76000000001</v>
      </c>
      <c r="J222" s="12">
        <v>45145</v>
      </c>
      <c r="K222" s="12">
        <v>45147</v>
      </c>
      <c r="L222" s="5" t="s">
        <v>295</v>
      </c>
      <c r="M222" s="5" t="s">
        <v>34</v>
      </c>
    </row>
    <row r="223" spans="1:13" x14ac:dyDescent="0.35">
      <c r="A223" s="1">
        <v>45139</v>
      </c>
      <c r="B223" s="80" t="s">
        <v>134</v>
      </c>
      <c r="C223" s="44">
        <v>307504</v>
      </c>
      <c r="D223" s="73">
        <f>C223/2</f>
        <v>153752</v>
      </c>
      <c r="E223" s="73">
        <f>C223/30</f>
        <v>10250.133333333333</v>
      </c>
      <c r="F223" s="73">
        <f>E223*14</f>
        <v>143501.86666666667</v>
      </c>
      <c r="G223" s="74">
        <v>1</v>
      </c>
      <c r="H223" s="53">
        <f>C223/30*1*0.2</f>
        <v>2050.0266666666666</v>
      </c>
      <c r="I223" s="53">
        <f>C223/30*1*0.8</f>
        <v>8200.1066666666666</v>
      </c>
      <c r="J223" s="12">
        <v>45100</v>
      </c>
      <c r="K223" s="12">
        <v>45100</v>
      </c>
      <c r="L223" s="5" t="s">
        <v>300</v>
      </c>
      <c r="M223" s="5" t="s">
        <v>63</v>
      </c>
    </row>
    <row r="224" spans="1:13" x14ac:dyDescent="0.35">
      <c r="A224" s="1">
        <v>45139</v>
      </c>
      <c r="B224" s="80" t="s">
        <v>292</v>
      </c>
      <c r="C224" s="73">
        <v>814782</v>
      </c>
      <c r="D224" s="73">
        <f>C224/2</f>
        <v>407391</v>
      </c>
      <c r="E224" s="73">
        <f>C224/30</f>
        <v>27159.4</v>
      </c>
      <c r="F224" s="73">
        <f>E224*13</f>
        <v>353072.2</v>
      </c>
      <c r="G224" s="74">
        <v>2</v>
      </c>
      <c r="H224" s="53">
        <f>C224/30*2*0.2</f>
        <v>10863.760000000002</v>
      </c>
      <c r="I224" s="53">
        <f>C224/30*2*0.8</f>
        <v>43455.040000000008</v>
      </c>
      <c r="J224" s="12">
        <v>45141</v>
      </c>
      <c r="K224" s="12">
        <v>45142</v>
      </c>
      <c r="L224" s="5" t="s">
        <v>293</v>
      </c>
      <c r="M224" s="5" t="s">
        <v>34</v>
      </c>
    </row>
    <row r="225" spans="1:13" x14ac:dyDescent="0.35">
      <c r="A225" s="1">
        <v>45139</v>
      </c>
      <c r="B225" s="80" t="s">
        <v>32</v>
      </c>
      <c r="C225" s="73">
        <v>423290</v>
      </c>
      <c r="D225" s="73">
        <f t="shared" ref="D225:D226" si="90">C225/2</f>
        <v>211645</v>
      </c>
      <c r="E225" s="73">
        <f t="shared" ref="E225:E226" si="91">C225/30</f>
        <v>14109.666666666666</v>
      </c>
      <c r="F225" s="73">
        <f>E225*14</f>
        <v>197535.33333333331</v>
      </c>
      <c r="G225" s="74">
        <v>1</v>
      </c>
      <c r="H225" s="53">
        <f>C225/30*1*0.2</f>
        <v>2821.9333333333334</v>
      </c>
      <c r="I225" s="53">
        <f>C225/30*1*0.8</f>
        <v>11287.733333333334</v>
      </c>
      <c r="J225" s="12">
        <v>45141</v>
      </c>
      <c r="K225" s="12">
        <v>45141</v>
      </c>
      <c r="L225" s="5" t="s">
        <v>301</v>
      </c>
      <c r="M225" s="5" t="s">
        <v>302</v>
      </c>
    </row>
    <row r="226" spans="1:13" x14ac:dyDescent="0.35">
      <c r="A226" s="1">
        <v>45139</v>
      </c>
      <c r="B226" s="80" t="s">
        <v>144</v>
      </c>
      <c r="C226" s="73">
        <v>2185213</v>
      </c>
      <c r="D226" s="73">
        <f t="shared" si="90"/>
        <v>1092606.5</v>
      </c>
      <c r="E226" s="73">
        <f t="shared" si="91"/>
        <v>72840.433333333334</v>
      </c>
      <c r="F226" s="73">
        <f>E226*14</f>
        <v>1019766.0666666667</v>
      </c>
      <c r="G226" s="74">
        <v>1</v>
      </c>
      <c r="H226" s="53">
        <f>C226/30*1*0.2</f>
        <v>14568.086666666668</v>
      </c>
      <c r="I226" s="53">
        <f>C226/30*1*0.8</f>
        <v>58272.346666666672</v>
      </c>
      <c r="J226" s="12">
        <v>45141</v>
      </c>
      <c r="K226" s="12">
        <v>45141</v>
      </c>
      <c r="L226" s="5" t="s">
        <v>294</v>
      </c>
      <c r="M226" s="5" t="s">
        <v>34</v>
      </c>
    </row>
    <row r="227" spans="1:13" x14ac:dyDescent="0.35">
      <c r="A227" s="1">
        <v>45139</v>
      </c>
      <c r="B227" s="80" t="s">
        <v>282</v>
      </c>
      <c r="C227" s="73">
        <v>885512</v>
      </c>
      <c r="D227" s="73">
        <f t="shared" ref="D227:D234" si="92">C227/2</f>
        <v>442756</v>
      </c>
      <c r="E227" s="73">
        <f t="shared" ref="E227:E234" si="93">C227/30</f>
        <v>29517.066666666666</v>
      </c>
      <c r="F227" s="73">
        <f>E227*14</f>
        <v>413238.93333333335</v>
      </c>
      <c r="G227" s="74">
        <v>1</v>
      </c>
      <c r="H227" s="53">
        <f>C227/30*1*0.2</f>
        <v>5903.4133333333339</v>
      </c>
      <c r="I227" s="53">
        <f>C227/30*1*0.8</f>
        <v>23613.653333333335</v>
      </c>
      <c r="J227" s="12">
        <v>45126</v>
      </c>
      <c r="K227" s="12">
        <v>45126</v>
      </c>
      <c r="L227" s="5" t="s">
        <v>283</v>
      </c>
      <c r="M227" s="5" t="s">
        <v>284</v>
      </c>
    </row>
    <row r="228" spans="1:13" x14ac:dyDescent="0.35">
      <c r="A228" s="1">
        <v>45139</v>
      </c>
      <c r="B228" s="83" t="s">
        <v>69</v>
      </c>
      <c r="C228" s="73">
        <v>339955</v>
      </c>
      <c r="D228" s="73">
        <f t="shared" si="92"/>
        <v>169977.5</v>
      </c>
      <c r="E228" s="73">
        <f t="shared" si="93"/>
        <v>11331.833333333334</v>
      </c>
      <c r="F228" s="73">
        <f>E228*11</f>
        <v>124650.16666666667</v>
      </c>
      <c r="G228" s="74">
        <v>4</v>
      </c>
      <c r="H228" s="53">
        <f>C228/30*3*0.2+C228/30*1*0.8</f>
        <v>15864.566666666668</v>
      </c>
      <c r="I228" s="53">
        <f>C228/30*3*0.8+C228/30*1*0.2</f>
        <v>29462.76666666667</v>
      </c>
      <c r="J228" s="12">
        <v>45132</v>
      </c>
      <c r="K228" s="12">
        <v>45135</v>
      </c>
      <c r="L228" s="5" t="s">
        <v>291</v>
      </c>
      <c r="M228" s="5" t="s">
        <v>29</v>
      </c>
    </row>
    <row r="229" spans="1:13" x14ac:dyDescent="0.35">
      <c r="A229" s="1">
        <v>45139</v>
      </c>
      <c r="B229" s="83" t="s">
        <v>171</v>
      </c>
      <c r="C229" s="73">
        <v>320944</v>
      </c>
      <c r="D229" s="73">
        <f t="shared" si="92"/>
        <v>160472</v>
      </c>
      <c r="E229" s="73">
        <f t="shared" si="93"/>
        <v>10698.133333333333</v>
      </c>
      <c r="F229" s="73">
        <f>E229*10</f>
        <v>106981.33333333333</v>
      </c>
      <c r="G229" s="74">
        <v>3</v>
      </c>
      <c r="H229" s="53">
        <f>C229/30*3*0.2+C229/30*2*0.8</f>
        <v>23535.893333333333</v>
      </c>
      <c r="I229" s="53">
        <f>C229/30*3*0.8+C229/30*2*0.2</f>
        <v>29954.773333333338</v>
      </c>
      <c r="J229" s="12">
        <v>45145</v>
      </c>
      <c r="K229" s="12">
        <v>45147</v>
      </c>
      <c r="L229" s="5" t="s">
        <v>298</v>
      </c>
      <c r="M229" s="5" t="s">
        <v>34</v>
      </c>
    </row>
    <row r="230" spans="1:13" x14ac:dyDescent="0.35">
      <c r="A230" s="1">
        <v>45139</v>
      </c>
      <c r="B230" s="83" t="s">
        <v>171</v>
      </c>
      <c r="C230" s="73"/>
      <c r="D230" s="73"/>
      <c r="E230" s="73"/>
      <c r="F230" s="73"/>
      <c r="G230" s="74">
        <v>2</v>
      </c>
      <c r="H230" s="53">
        <v>0</v>
      </c>
      <c r="I230" s="53">
        <v>0</v>
      </c>
      <c r="J230" s="12">
        <v>45141</v>
      </c>
      <c r="K230" s="12">
        <v>45142</v>
      </c>
      <c r="L230" s="5" t="s">
        <v>299</v>
      </c>
      <c r="M230" s="5" t="s">
        <v>316</v>
      </c>
    </row>
    <row r="231" spans="1:13" x14ac:dyDescent="0.35">
      <c r="A231" s="1">
        <v>45139</v>
      </c>
      <c r="B231" s="83" t="s">
        <v>288</v>
      </c>
      <c r="C231" s="73">
        <v>2542067</v>
      </c>
      <c r="D231" s="73">
        <f t="shared" si="92"/>
        <v>1271033.5</v>
      </c>
      <c r="E231" s="73">
        <f t="shared" si="93"/>
        <v>84735.566666666666</v>
      </c>
      <c r="F231" s="73">
        <f>E231*13</f>
        <v>1101562.3666666667</v>
      </c>
      <c r="G231" s="74">
        <v>2</v>
      </c>
      <c r="H231" s="53">
        <f>C231/30*2*0.2</f>
        <v>33894.226666666669</v>
      </c>
      <c r="I231" s="53">
        <f>C231/30*2*0.8</f>
        <v>135576.90666666668</v>
      </c>
      <c r="J231" s="12">
        <v>45138</v>
      </c>
      <c r="K231" s="12">
        <v>45139</v>
      </c>
      <c r="L231" s="5" t="s">
        <v>289</v>
      </c>
      <c r="M231" s="5" t="s">
        <v>290</v>
      </c>
    </row>
    <row r="232" spans="1:13" x14ac:dyDescent="0.35">
      <c r="A232" s="1">
        <v>45139</v>
      </c>
      <c r="B232" s="72" t="s">
        <v>53</v>
      </c>
      <c r="C232" s="73">
        <v>461114</v>
      </c>
      <c r="D232" s="73">
        <f t="shared" si="92"/>
        <v>230557</v>
      </c>
      <c r="E232" s="73">
        <f t="shared" si="93"/>
        <v>15370.466666666667</v>
      </c>
      <c r="F232" s="73">
        <f>E232*13</f>
        <v>199816.06666666668</v>
      </c>
      <c r="G232" s="74">
        <v>2</v>
      </c>
      <c r="H232" s="53">
        <f>C232/30*2*0.2</f>
        <v>6148.1866666666674</v>
      </c>
      <c r="I232" s="53">
        <f>C232/30*2*0.8</f>
        <v>24592.74666666667</v>
      </c>
      <c r="J232" s="12">
        <v>45133</v>
      </c>
      <c r="K232" s="12">
        <v>45134</v>
      </c>
      <c r="L232" s="5" t="s">
        <v>285</v>
      </c>
      <c r="M232" s="5" t="s">
        <v>34</v>
      </c>
    </row>
    <row r="233" spans="1:13" x14ac:dyDescent="0.35">
      <c r="A233" s="1">
        <v>45139</v>
      </c>
      <c r="B233" s="72" t="s">
        <v>296</v>
      </c>
      <c r="C233" s="73">
        <v>343050</v>
      </c>
      <c r="D233" s="73">
        <f t="shared" si="92"/>
        <v>171525</v>
      </c>
      <c r="E233" s="73">
        <f t="shared" si="93"/>
        <v>11435</v>
      </c>
      <c r="F233" s="73">
        <f>E233*12</f>
        <v>137220</v>
      </c>
      <c r="G233" s="74">
        <v>3</v>
      </c>
      <c r="H233" s="53">
        <f>C233/30*3*0.2</f>
        <v>6861</v>
      </c>
      <c r="I233" s="53">
        <f>C233/30*3*0.8</f>
        <v>27444</v>
      </c>
      <c r="J233" s="12">
        <v>45145</v>
      </c>
      <c r="K233" s="12">
        <v>45147</v>
      </c>
      <c r="L233" s="5" t="s">
        <v>297</v>
      </c>
      <c r="M233" s="5" t="s">
        <v>34</v>
      </c>
    </row>
    <row r="234" spans="1:13" x14ac:dyDescent="0.35">
      <c r="A234" s="1">
        <v>45139</v>
      </c>
      <c r="B234" s="72" t="s">
        <v>303</v>
      </c>
      <c r="C234" s="73">
        <v>1342326</v>
      </c>
      <c r="D234" s="73">
        <f t="shared" si="92"/>
        <v>671163</v>
      </c>
      <c r="E234" s="73">
        <f t="shared" si="93"/>
        <v>44744.2</v>
      </c>
      <c r="F234" s="73">
        <f>E234*12</f>
        <v>536930.39999999991</v>
      </c>
      <c r="G234" s="74">
        <v>3</v>
      </c>
      <c r="H234" s="53">
        <f>C234/30*3*0.2</f>
        <v>26846.519999999997</v>
      </c>
      <c r="I234" s="53">
        <f>C234/30*3*0.8</f>
        <v>107386.07999999999</v>
      </c>
      <c r="J234" s="12">
        <v>45145</v>
      </c>
      <c r="K234" s="12">
        <v>45147</v>
      </c>
      <c r="L234" s="5" t="s">
        <v>304</v>
      </c>
      <c r="M234" s="5" t="s">
        <v>305</v>
      </c>
    </row>
    <row r="235" spans="1:13" x14ac:dyDescent="0.35">
      <c r="A235" s="1"/>
      <c r="B235" s="72"/>
      <c r="C235" s="73"/>
      <c r="D235" s="73"/>
      <c r="E235" s="73"/>
      <c r="F235" s="73"/>
      <c r="G235" s="74"/>
      <c r="H235" s="53">
        <f>SUM(H222:H234)</f>
        <v>189149.05333333334</v>
      </c>
      <c r="I235" s="53">
        <f>SUM(I222:I234)</f>
        <v>658411.91333333321</v>
      </c>
      <c r="J235" s="12"/>
      <c r="K235" s="5"/>
      <c r="L235" s="5"/>
      <c r="M235" s="5"/>
    </row>
    <row r="236" spans="1:13" x14ac:dyDescent="0.35">
      <c r="A236" s="1"/>
      <c r="B236" s="60" t="s">
        <v>37</v>
      </c>
      <c r="C236" s="73"/>
      <c r="D236" s="73"/>
      <c r="E236" s="73"/>
      <c r="F236" s="73"/>
      <c r="G236" s="74"/>
      <c r="H236" s="68">
        <f>H219+H235</f>
        <v>16303515.296666667</v>
      </c>
      <c r="I236" s="53"/>
      <c r="J236" s="12"/>
      <c r="K236" s="5"/>
      <c r="L236" s="5"/>
      <c r="M236" s="5"/>
    </row>
    <row r="237" spans="1:13" x14ac:dyDescent="0.35">
      <c r="A237" s="1"/>
      <c r="B237" s="61" t="s">
        <v>50</v>
      </c>
      <c r="C237" s="73"/>
      <c r="D237" s="73"/>
      <c r="E237" s="73"/>
      <c r="F237" s="73"/>
      <c r="G237" s="74"/>
      <c r="H237" s="53"/>
      <c r="I237" s="66">
        <f>I220-I235</f>
        <v>14519917.737986799</v>
      </c>
      <c r="J237" s="12"/>
      <c r="K237" s="5"/>
      <c r="L237" s="5"/>
      <c r="M237" s="5"/>
    </row>
    <row r="238" spans="1:13" s="45" customFormat="1" x14ac:dyDescent="0.35"/>
    <row r="239" spans="1:13" x14ac:dyDescent="0.35">
      <c r="A239" s="1">
        <v>45140</v>
      </c>
      <c r="B239" s="80" t="s">
        <v>109</v>
      </c>
      <c r="C239" s="73">
        <v>1989572</v>
      </c>
      <c r="D239" s="73">
        <f>C239/2</f>
        <v>994786</v>
      </c>
      <c r="E239" s="73">
        <f>C239/30</f>
        <v>66319.066666666666</v>
      </c>
      <c r="F239" s="73">
        <f>E239*13</f>
        <v>862147.8666666667</v>
      </c>
      <c r="G239" s="74">
        <v>2</v>
      </c>
      <c r="H239" s="53">
        <f>C239/30*2*0.8</f>
        <v>106110.50666666667</v>
      </c>
      <c r="I239" s="53">
        <f>C239/30*2*0.2</f>
        <v>26527.626666666667</v>
      </c>
      <c r="J239" s="12">
        <v>45148</v>
      </c>
      <c r="K239" s="12">
        <v>45149</v>
      </c>
      <c r="L239" s="5" t="s">
        <v>314</v>
      </c>
      <c r="M239" s="5" t="s">
        <v>34</v>
      </c>
    </row>
    <row r="240" spans="1:13" x14ac:dyDescent="0.35">
      <c r="A240" s="1">
        <v>45140</v>
      </c>
      <c r="B240" s="83" t="s">
        <v>42</v>
      </c>
      <c r="C240" s="73">
        <v>307504</v>
      </c>
      <c r="D240" s="73">
        <f>C240/2</f>
        <v>153752</v>
      </c>
      <c r="E240" s="73">
        <f>C240/30</f>
        <v>10250.133333333333</v>
      </c>
      <c r="F240" s="73">
        <f>E240*14</f>
        <v>143501.86666666667</v>
      </c>
      <c r="G240" s="74">
        <v>1</v>
      </c>
      <c r="H240" s="53">
        <f>C240/30*1*0.2</f>
        <v>2050.0266666666666</v>
      </c>
      <c r="I240" s="53">
        <f>C240/30*1*0.8</f>
        <v>8200.1066666666666</v>
      </c>
      <c r="J240" s="12">
        <v>45145</v>
      </c>
      <c r="K240" s="12">
        <v>45145</v>
      </c>
      <c r="L240" s="5" t="s">
        <v>319</v>
      </c>
      <c r="M240" s="5" t="s">
        <v>320</v>
      </c>
    </row>
    <row r="241" spans="1:13" x14ac:dyDescent="0.35">
      <c r="A241" s="1">
        <v>45140</v>
      </c>
      <c r="B241" s="72" t="s">
        <v>317</v>
      </c>
      <c r="C241" s="73">
        <v>746023</v>
      </c>
      <c r="D241" s="73">
        <f>C241/2</f>
        <v>373011.5</v>
      </c>
      <c r="E241" s="73">
        <f>C241/30</f>
        <v>24867.433333333334</v>
      </c>
      <c r="F241" s="73">
        <f>E241*14</f>
        <v>348144.06666666665</v>
      </c>
      <c r="G241" s="74">
        <v>1</v>
      </c>
      <c r="H241" s="53">
        <f>C241/30*1*0.2</f>
        <v>4973.4866666666676</v>
      </c>
      <c r="I241" s="53">
        <f>C241/30*1*0.8</f>
        <v>19893.94666666667</v>
      </c>
      <c r="J241" s="12">
        <v>45154</v>
      </c>
      <c r="K241" s="12">
        <v>45154</v>
      </c>
      <c r="L241" s="5" t="s">
        <v>318</v>
      </c>
      <c r="M241" s="5" t="s">
        <v>34</v>
      </c>
    </row>
    <row r="242" spans="1:13" x14ac:dyDescent="0.35">
      <c r="A242" s="1">
        <v>45140</v>
      </c>
      <c r="B242" s="72" t="s">
        <v>32</v>
      </c>
      <c r="C242" s="73">
        <v>423290</v>
      </c>
      <c r="D242" s="73">
        <f t="shared" ref="D242" si="94">C242/2</f>
        <v>211645</v>
      </c>
      <c r="E242" s="73">
        <f t="shared" ref="E242" si="95">C242/30</f>
        <v>14109.666666666666</v>
      </c>
      <c r="F242" s="73">
        <f>E242*12</f>
        <v>169316</v>
      </c>
      <c r="G242" s="74">
        <v>2</v>
      </c>
      <c r="H242" s="53">
        <f>C242/30*2*0.2</f>
        <v>5643.8666666666668</v>
      </c>
      <c r="I242" s="53">
        <f>C242/30*2*0.8</f>
        <v>22575.466666666667</v>
      </c>
      <c r="J242" s="12">
        <v>45147</v>
      </c>
      <c r="K242" s="12">
        <v>45148</v>
      </c>
      <c r="L242" s="5" t="s">
        <v>306</v>
      </c>
      <c r="M242" s="5" t="s">
        <v>308</v>
      </c>
    </row>
    <row r="243" spans="1:13" x14ac:dyDescent="0.35">
      <c r="A243" s="1">
        <v>45140</v>
      </c>
      <c r="B243" s="72" t="s">
        <v>180</v>
      </c>
      <c r="C243" s="73">
        <v>456718</v>
      </c>
      <c r="D243" s="73">
        <f t="shared" ref="D243:D247" si="96">C243/2</f>
        <v>228359</v>
      </c>
      <c r="E243" s="73">
        <f t="shared" ref="E243:E247" si="97">C243/30</f>
        <v>15223.933333333332</v>
      </c>
      <c r="F243" s="73">
        <f>E243*14</f>
        <v>213135.06666666665</v>
      </c>
      <c r="G243" s="74">
        <v>1</v>
      </c>
      <c r="H243" s="53">
        <f>C243/30*1*0.2</f>
        <v>3044.7866666666669</v>
      </c>
      <c r="I243" s="53">
        <f>C243/30*1*0.8</f>
        <v>12179.146666666667</v>
      </c>
      <c r="J243" s="12">
        <v>45147</v>
      </c>
      <c r="K243" s="12">
        <v>45147</v>
      </c>
      <c r="L243" s="5" t="s">
        <v>307</v>
      </c>
      <c r="M243" s="5" t="s">
        <v>34</v>
      </c>
    </row>
    <row r="244" spans="1:13" x14ac:dyDescent="0.35">
      <c r="A244" s="1">
        <v>45140</v>
      </c>
      <c r="B244" s="72" t="s">
        <v>138</v>
      </c>
      <c r="C244" s="44">
        <v>1155808</v>
      </c>
      <c r="D244" s="73">
        <f t="shared" si="96"/>
        <v>577904</v>
      </c>
      <c r="E244" s="73">
        <f t="shared" si="97"/>
        <v>38526.933333333334</v>
      </c>
      <c r="F244" s="73">
        <f t="shared" ref="F244" si="98">E244*12</f>
        <v>462323.20000000001</v>
      </c>
      <c r="G244" s="74">
        <v>3</v>
      </c>
      <c r="H244" s="53">
        <f>C244/30*3*0.2</f>
        <v>23116.160000000003</v>
      </c>
      <c r="I244" s="53">
        <f>C244/30*3*0.8</f>
        <v>92464.640000000014</v>
      </c>
      <c r="J244" s="12">
        <v>45153</v>
      </c>
      <c r="K244" s="12">
        <v>45155</v>
      </c>
      <c r="L244" s="5" t="s">
        <v>315</v>
      </c>
      <c r="M244" s="5" t="s">
        <v>316</v>
      </c>
    </row>
    <row r="245" spans="1:13" x14ac:dyDescent="0.35">
      <c r="A245" s="1">
        <v>45140</v>
      </c>
      <c r="B245" s="72" t="s">
        <v>321</v>
      </c>
      <c r="C245" s="73">
        <v>362950</v>
      </c>
      <c r="D245" s="73">
        <f t="shared" si="96"/>
        <v>181475</v>
      </c>
      <c r="E245" s="73">
        <f t="shared" si="97"/>
        <v>12098.333333333334</v>
      </c>
      <c r="F245" s="73">
        <f>E245*14</f>
        <v>169376.66666666669</v>
      </c>
      <c r="G245" s="74">
        <v>1</v>
      </c>
      <c r="H245" s="53">
        <f>C245/30*1*0.2</f>
        <v>2419.666666666667</v>
      </c>
      <c r="I245" s="53">
        <f>C245/30*1*0.8</f>
        <v>9678.6666666666679</v>
      </c>
      <c r="J245" s="12">
        <v>45159</v>
      </c>
      <c r="K245" s="12">
        <v>45159</v>
      </c>
      <c r="L245" s="5" t="s">
        <v>322</v>
      </c>
      <c r="M245" s="5" t="s">
        <v>34</v>
      </c>
    </row>
    <row r="246" spans="1:13" x14ac:dyDescent="0.35">
      <c r="A246" s="1">
        <v>45140</v>
      </c>
      <c r="B246" s="72" t="s">
        <v>296</v>
      </c>
      <c r="C246" s="73">
        <v>343050</v>
      </c>
      <c r="D246" s="73">
        <f t="shared" si="96"/>
        <v>171525</v>
      </c>
      <c r="E246" s="73">
        <f t="shared" si="97"/>
        <v>11435</v>
      </c>
      <c r="F246" s="73">
        <f>E246*13</f>
        <v>148655</v>
      </c>
      <c r="G246" s="74">
        <v>2</v>
      </c>
      <c r="H246" s="53">
        <f>C246/30*2*0.8</f>
        <v>18296</v>
      </c>
      <c r="I246" s="53">
        <f>C246/30*2*0.2</f>
        <v>4574</v>
      </c>
      <c r="J246" s="12">
        <v>45148</v>
      </c>
      <c r="K246" s="12">
        <v>45149</v>
      </c>
      <c r="L246" s="5" t="s">
        <v>313</v>
      </c>
      <c r="M246" s="5" t="s">
        <v>34</v>
      </c>
    </row>
    <row r="247" spans="1:13" x14ac:dyDescent="0.35">
      <c r="A247" s="1">
        <v>45140</v>
      </c>
      <c r="B247" s="72" t="s">
        <v>309</v>
      </c>
      <c r="C247" s="73">
        <v>1398007</v>
      </c>
      <c r="D247" s="73">
        <f t="shared" si="96"/>
        <v>699003.5</v>
      </c>
      <c r="E247" s="73">
        <f t="shared" si="97"/>
        <v>46600.23333333333</v>
      </c>
      <c r="F247" s="73">
        <f>D247/2</f>
        <v>349501.75</v>
      </c>
      <c r="G247" s="74" t="s">
        <v>312</v>
      </c>
      <c r="H247" s="53">
        <v>0</v>
      </c>
      <c r="I247" s="53">
        <v>0</v>
      </c>
      <c r="J247" s="12">
        <v>45145</v>
      </c>
      <c r="K247" s="12">
        <v>45266</v>
      </c>
      <c r="L247" s="5" t="s">
        <v>310</v>
      </c>
      <c r="M247" s="5" t="s">
        <v>311</v>
      </c>
    </row>
    <row r="248" spans="1:13" x14ac:dyDescent="0.35">
      <c r="A248" s="1"/>
      <c r="B248" s="72"/>
      <c r="C248" s="73"/>
      <c r="D248" s="73"/>
      <c r="E248" s="73"/>
      <c r="F248" s="73"/>
      <c r="G248" s="74"/>
      <c r="H248" s="53">
        <f>SUM(H239:H247)</f>
        <v>165654.5</v>
      </c>
      <c r="I248" s="53">
        <f>SUM(I239:I247)</f>
        <v>196093.6</v>
      </c>
      <c r="J248" s="12"/>
      <c r="K248" s="5"/>
      <c r="L248" s="5"/>
      <c r="M248" s="5"/>
    </row>
    <row r="249" spans="1:13" x14ac:dyDescent="0.35">
      <c r="A249" s="1"/>
      <c r="B249" s="60" t="s">
        <v>37</v>
      </c>
      <c r="C249" s="73"/>
      <c r="D249" s="73"/>
      <c r="E249" s="73"/>
      <c r="F249" s="73"/>
      <c r="G249" s="74"/>
      <c r="H249" s="68">
        <f>H236+H248</f>
        <v>16469169.796666667</v>
      </c>
      <c r="I249" s="53"/>
      <c r="J249" s="12"/>
      <c r="K249" s="5"/>
      <c r="L249" s="5"/>
      <c r="M249" s="5"/>
    </row>
    <row r="250" spans="1:13" x14ac:dyDescent="0.35">
      <c r="A250" s="1"/>
      <c r="B250" s="61" t="s">
        <v>50</v>
      </c>
      <c r="C250" s="73"/>
      <c r="D250" s="73"/>
      <c r="E250" s="73"/>
      <c r="F250" s="73"/>
      <c r="G250" s="74"/>
      <c r="H250" s="53"/>
      <c r="I250" s="66">
        <f>I237-I248</f>
        <v>14323824.1379868</v>
      </c>
      <c r="J250" s="12"/>
      <c r="K250" s="5"/>
      <c r="L250" s="5"/>
      <c r="M250" s="5"/>
    </row>
    <row r="251" spans="1:13" s="45" customFormat="1" x14ac:dyDescent="0.35"/>
    <row r="252" spans="1:13" x14ac:dyDescent="0.35">
      <c r="A252" s="1">
        <v>45170</v>
      </c>
      <c r="B252" s="72" t="s">
        <v>317</v>
      </c>
      <c r="C252" s="73">
        <v>746023</v>
      </c>
      <c r="D252" s="73">
        <f>C252/2</f>
        <v>373011.5</v>
      </c>
      <c r="E252" s="73">
        <f>C252/30</f>
        <v>24867.433333333334</v>
      </c>
      <c r="F252" s="73">
        <f>E252*14</f>
        <v>348144.06666666665</v>
      </c>
      <c r="G252" s="74">
        <v>1</v>
      </c>
      <c r="H252" s="53">
        <f>C252/30*1*0.2</f>
        <v>4973.4866666666676</v>
      </c>
      <c r="I252" s="53">
        <f>C252/30*1*0.8</f>
        <v>19893.94666666667</v>
      </c>
      <c r="J252" s="12">
        <v>45174</v>
      </c>
      <c r="K252" s="12">
        <v>45174</v>
      </c>
      <c r="L252" s="5" t="s">
        <v>329</v>
      </c>
      <c r="M252" s="5" t="s">
        <v>34</v>
      </c>
    </row>
    <row r="253" spans="1:13" x14ac:dyDescent="0.35">
      <c r="A253" s="1">
        <v>45170</v>
      </c>
      <c r="B253" s="72" t="s">
        <v>328</v>
      </c>
      <c r="C253" s="73">
        <v>334123</v>
      </c>
      <c r="D253" s="73">
        <f>C253/2</f>
        <v>167061.5</v>
      </c>
      <c r="E253" s="73">
        <f>C253/30</f>
        <v>11137.433333333332</v>
      </c>
      <c r="F253" s="73">
        <f>E253*14</f>
        <v>155924.06666666665</v>
      </c>
      <c r="G253" s="74">
        <v>1</v>
      </c>
      <c r="H253" s="53">
        <f>C253/30*1*0.2</f>
        <v>2227.4866666666667</v>
      </c>
      <c r="I253" s="53">
        <f>C253/30*1*0.8</f>
        <v>8909.9466666666667</v>
      </c>
      <c r="J253" s="12">
        <v>45159</v>
      </c>
      <c r="K253" s="12">
        <v>45159</v>
      </c>
      <c r="L253" s="5" t="s">
        <v>326</v>
      </c>
      <c r="M253" s="5" t="s">
        <v>327</v>
      </c>
    </row>
    <row r="254" spans="1:13" x14ac:dyDescent="0.35">
      <c r="A254" s="1">
        <v>45170</v>
      </c>
      <c r="B254" s="72" t="s">
        <v>330</v>
      </c>
      <c r="C254" s="73">
        <v>2311730.5</v>
      </c>
      <c r="D254" s="73">
        <f>C254/2</f>
        <v>1155865.25</v>
      </c>
      <c r="E254" s="73">
        <f>C254/30</f>
        <v>77057.683333333334</v>
      </c>
      <c r="F254" s="73">
        <f>E254*7</f>
        <v>539403.78333333333</v>
      </c>
      <c r="G254" s="74">
        <v>3</v>
      </c>
      <c r="H254" s="53">
        <f>C254/30*3*0.2</f>
        <v>46234.61</v>
      </c>
      <c r="I254" s="53">
        <f>C254/30*3*0.8</f>
        <v>184938.44</v>
      </c>
      <c r="J254" s="14">
        <v>45161</v>
      </c>
      <c r="K254" s="12">
        <v>45163</v>
      </c>
      <c r="L254" s="12" t="s">
        <v>323</v>
      </c>
      <c r="M254" s="5" t="s">
        <v>324</v>
      </c>
    </row>
    <row r="255" spans="1:13" x14ac:dyDescent="0.35">
      <c r="A255" s="1">
        <v>45170</v>
      </c>
      <c r="B255" s="72" t="s">
        <v>330</v>
      </c>
      <c r="C255" s="73">
        <v>0</v>
      </c>
      <c r="D255" s="73">
        <v>0</v>
      </c>
      <c r="E255" s="73">
        <v>0</v>
      </c>
      <c r="F255" s="73">
        <v>0</v>
      </c>
      <c r="G255" s="74">
        <v>5</v>
      </c>
      <c r="H255" s="53">
        <f>C254/30*5*0.8</f>
        <v>308230.73333333334</v>
      </c>
      <c r="I255" s="53">
        <f>C254/30*5*0.2</f>
        <v>77057.683333333334</v>
      </c>
      <c r="J255" s="12">
        <v>45166</v>
      </c>
      <c r="K255" s="12">
        <v>45170</v>
      </c>
      <c r="L255" s="5" t="s">
        <v>325</v>
      </c>
      <c r="M255" s="5" t="s">
        <v>34</v>
      </c>
    </row>
    <row r="256" spans="1:13" x14ac:dyDescent="0.35">
      <c r="A256" s="1">
        <v>45170</v>
      </c>
      <c r="B256" s="72" t="s">
        <v>188</v>
      </c>
      <c r="C256" s="73">
        <v>1471381.5</v>
      </c>
      <c r="D256" s="73">
        <v>0</v>
      </c>
      <c r="E256" s="73">
        <v>0</v>
      </c>
      <c r="F256" s="73">
        <v>0</v>
      </c>
      <c r="G256" s="74">
        <v>2</v>
      </c>
      <c r="H256" s="53">
        <f>C256/30*2*0.2</f>
        <v>19618.420000000002</v>
      </c>
      <c r="I256" s="53">
        <f>C256/30*2*0.8</f>
        <v>78473.680000000008</v>
      </c>
      <c r="J256" s="12">
        <v>45174</v>
      </c>
      <c r="K256" s="12">
        <v>45175</v>
      </c>
      <c r="L256" s="5" t="s">
        <v>331</v>
      </c>
      <c r="M256" s="5" t="s">
        <v>332</v>
      </c>
    </row>
    <row r="257" spans="1:13" x14ac:dyDescent="0.35">
      <c r="A257" s="1">
        <v>45170</v>
      </c>
      <c r="B257" s="72" t="s">
        <v>309</v>
      </c>
      <c r="C257" s="73">
        <v>1398007</v>
      </c>
      <c r="D257" s="73">
        <f t="shared" ref="D257" si="99">C257/2</f>
        <v>699003.5</v>
      </c>
      <c r="E257" s="73">
        <f t="shared" ref="E257" si="100">C257/30</f>
        <v>46600.23333333333</v>
      </c>
      <c r="F257" s="73">
        <f>D257/2</f>
        <v>349501.75</v>
      </c>
      <c r="G257" s="74" t="s">
        <v>312</v>
      </c>
      <c r="H257" s="53">
        <v>0</v>
      </c>
      <c r="I257" s="53">
        <v>0</v>
      </c>
      <c r="J257" s="12">
        <v>45145</v>
      </c>
      <c r="K257" s="12">
        <v>45266</v>
      </c>
      <c r="L257" s="5" t="s">
        <v>310</v>
      </c>
      <c r="M257" s="5" t="s">
        <v>311</v>
      </c>
    </row>
    <row r="258" spans="1:13" x14ac:dyDescent="0.35">
      <c r="A258" s="1"/>
      <c r="B258" s="72"/>
      <c r="C258" s="73"/>
      <c r="D258" s="73"/>
      <c r="E258" s="73"/>
      <c r="F258" s="73"/>
      <c r="G258" s="74"/>
      <c r="H258" s="53">
        <f>SUM(H252:H257)</f>
        <v>381284.73666666663</v>
      </c>
      <c r="I258" s="53">
        <f>SUM(I252:I257)</f>
        <v>369273.69666666666</v>
      </c>
      <c r="J258" s="12"/>
      <c r="K258" s="5"/>
      <c r="L258" s="5"/>
      <c r="M258" s="5"/>
    </row>
    <row r="259" spans="1:13" x14ac:dyDescent="0.35">
      <c r="A259" s="1"/>
      <c r="B259" s="60" t="s">
        <v>37</v>
      </c>
      <c r="C259" s="73"/>
      <c r="D259" s="73"/>
      <c r="E259" s="73"/>
      <c r="F259" s="73"/>
      <c r="G259" s="74"/>
      <c r="H259" s="68">
        <f>H249+H258</f>
        <v>16850454.533333335</v>
      </c>
      <c r="I259" s="66"/>
      <c r="J259" s="12"/>
      <c r="K259" s="5"/>
      <c r="L259" s="5"/>
      <c r="M259" s="5"/>
    </row>
    <row r="260" spans="1:13" x14ac:dyDescent="0.35">
      <c r="A260" s="1"/>
      <c r="B260" s="61" t="s">
        <v>50</v>
      </c>
      <c r="C260" s="73"/>
      <c r="D260" s="73"/>
      <c r="E260" s="73"/>
      <c r="F260" s="73"/>
      <c r="G260" s="74"/>
      <c r="H260" s="53"/>
      <c r="I260" s="66">
        <f>I250-I258</f>
        <v>13954550.441320132</v>
      </c>
      <c r="J260" s="12"/>
      <c r="K260" s="5"/>
      <c r="L260" s="5"/>
      <c r="M260" s="5"/>
    </row>
    <row r="261" spans="1:13" s="45" customFormat="1" x14ac:dyDescent="0.35"/>
    <row r="262" spans="1:13" x14ac:dyDescent="0.35">
      <c r="A262" s="1">
        <v>45171</v>
      </c>
      <c r="B262" s="72" t="s">
        <v>336</v>
      </c>
      <c r="C262" s="73">
        <v>1354820</v>
      </c>
      <c r="D262" s="73">
        <f>C262/2</f>
        <v>677410</v>
      </c>
      <c r="E262" s="73">
        <f>C262/30</f>
        <v>45160.666666666664</v>
      </c>
      <c r="F262" s="73">
        <f>E262*13</f>
        <v>587088.66666666663</v>
      </c>
      <c r="G262" s="74">
        <v>2</v>
      </c>
      <c r="H262" s="53">
        <f>C262/30*2*0.2</f>
        <v>18064.266666666666</v>
      </c>
      <c r="I262" s="53">
        <f>C262/30*2*0.8</f>
        <v>72257.066666666666</v>
      </c>
      <c r="J262" s="12">
        <v>45180</v>
      </c>
      <c r="K262" s="12">
        <v>45181</v>
      </c>
      <c r="L262" s="5" t="s">
        <v>337</v>
      </c>
      <c r="M262" s="5" t="s">
        <v>166</v>
      </c>
    </row>
    <row r="263" spans="1:13" x14ac:dyDescent="0.35">
      <c r="A263" s="1">
        <v>45171</v>
      </c>
      <c r="B263" s="72" t="s">
        <v>38</v>
      </c>
      <c r="C263" s="73">
        <v>1428978.5</v>
      </c>
      <c r="D263" s="73">
        <f>C263/2</f>
        <v>714489.25</v>
      </c>
      <c r="E263" s="73">
        <f>C263/30</f>
        <v>47632.616666666669</v>
      </c>
      <c r="F263" s="73">
        <f>E263*13</f>
        <v>619224.01666666672</v>
      </c>
      <c r="G263" s="74">
        <v>2</v>
      </c>
      <c r="H263" s="53">
        <f>C263/30*2*0.2</f>
        <v>19053.046666666669</v>
      </c>
      <c r="I263" s="53">
        <f>C263/30*2*0.8</f>
        <v>76212.186666666676</v>
      </c>
      <c r="J263" s="12">
        <v>45180</v>
      </c>
      <c r="K263" s="12">
        <v>45181</v>
      </c>
      <c r="L263" s="5" t="s">
        <v>333</v>
      </c>
      <c r="M263" s="5" t="s">
        <v>34</v>
      </c>
    </row>
    <row r="264" spans="1:13" x14ac:dyDescent="0.35">
      <c r="A264" s="1">
        <v>45171</v>
      </c>
      <c r="B264" s="72" t="s">
        <v>339</v>
      </c>
      <c r="C264" s="73">
        <v>1575293.5</v>
      </c>
      <c r="D264" s="73">
        <f t="shared" ref="D264:D270" si="101">C264/2</f>
        <v>787646.75</v>
      </c>
      <c r="E264" s="73">
        <f t="shared" ref="E264:E270" si="102">C264/30</f>
        <v>52509.783333333333</v>
      </c>
      <c r="F264" s="73">
        <f>E264*12</f>
        <v>630117.4</v>
      </c>
      <c r="G264" s="74">
        <v>2</v>
      </c>
      <c r="H264" s="53">
        <f>C264/30*3*0.2</f>
        <v>31505.870000000003</v>
      </c>
      <c r="I264" s="53">
        <f>C264/30*3*0.8</f>
        <v>126023.48000000001</v>
      </c>
      <c r="J264" s="12">
        <v>45180</v>
      </c>
      <c r="K264" s="12">
        <v>45181</v>
      </c>
      <c r="L264" s="5" t="s">
        <v>334</v>
      </c>
      <c r="M264" s="5" t="s">
        <v>34</v>
      </c>
    </row>
    <row r="265" spans="1:13" x14ac:dyDescent="0.35">
      <c r="A265" s="1">
        <v>45171</v>
      </c>
      <c r="B265" s="72" t="s">
        <v>339</v>
      </c>
      <c r="C265" s="73"/>
      <c r="D265" s="73">
        <f t="shared" si="101"/>
        <v>0</v>
      </c>
      <c r="E265" s="73">
        <f t="shared" si="102"/>
        <v>0</v>
      </c>
      <c r="F265" s="73">
        <f>E265*12</f>
        <v>0</v>
      </c>
      <c r="G265" s="74">
        <v>1</v>
      </c>
      <c r="H265" s="53">
        <f t="shared" ref="H265" si="103">C265/30*2*0.8</f>
        <v>0</v>
      </c>
      <c r="I265" s="53">
        <f t="shared" ref="I265:I270" si="104">C265/30*2*0.8</f>
        <v>0</v>
      </c>
      <c r="J265" s="12">
        <v>45182</v>
      </c>
      <c r="K265" s="12">
        <v>45183</v>
      </c>
      <c r="L265" s="5" t="s">
        <v>340</v>
      </c>
      <c r="M265" s="5" t="s">
        <v>34</v>
      </c>
    </row>
    <row r="266" spans="1:13" x14ac:dyDescent="0.35">
      <c r="A266" s="1">
        <v>45171</v>
      </c>
      <c r="B266" s="72" t="s">
        <v>247</v>
      </c>
      <c r="C266" s="73">
        <v>339955</v>
      </c>
      <c r="D266" s="73">
        <f t="shared" ref="D266" si="105">C266/2</f>
        <v>169977.5</v>
      </c>
      <c r="E266" s="73">
        <f t="shared" ref="E266" si="106">C266/30</f>
        <v>11331.833333333334</v>
      </c>
      <c r="F266" s="73">
        <v>0</v>
      </c>
      <c r="G266" s="74">
        <v>15</v>
      </c>
      <c r="H266" s="53">
        <f>C266/30*3*0.2+C266/30*12*0.8</f>
        <v>115584.70000000001</v>
      </c>
      <c r="I266" s="53">
        <f>C266/30*3*0.8+C266/30*12*0.2</f>
        <v>54392.800000000003</v>
      </c>
      <c r="J266" s="14">
        <v>45173</v>
      </c>
      <c r="K266" s="12">
        <v>45202</v>
      </c>
      <c r="L266" s="5" t="s">
        <v>341</v>
      </c>
      <c r="M266" s="5" t="s">
        <v>29</v>
      </c>
    </row>
    <row r="267" spans="1:13" x14ac:dyDescent="0.35">
      <c r="A267" s="1">
        <v>45171</v>
      </c>
      <c r="B267" s="72" t="s">
        <v>344</v>
      </c>
      <c r="C267" s="73">
        <v>1688757.5</v>
      </c>
      <c r="D267" s="73">
        <f t="shared" ref="D267" si="107">C267/2</f>
        <v>844378.75</v>
      </c>
      <c r="E267" s="73">
        <f t="shared" ref="E267" si="108">C267/30</f>
        <v>56291.916666666664</v>
      </c>
      <c r="F267" s="73">
        <f>E267*13</f>
        <v>731794.91666666663</v>
      </c>
      <c r="G267" s="74">
        <v>2</v>
      </c>
      <c r="H267" s="53">
        <f>C267/30*2*0.2</f>
        <v>22516.766666666666</v>
      </c>
      <c r="I267" s="53">
        <f>C267/30*2*0.8</f>
        <v>90067.066666666666</v>
      </c>
      <c r="J267" s="14">
        <v>45187</v>
      </c>
      <c r="K267" s="12">
        <v>45188</v>
      </c>
      <c r="L267" s="5" t="s">
        <v>345</v>
      </c>
      <c r="M267" s="5" t="s">
        <v>324</v>
      </c>
    </row>
    <row r="268" spans="1:13" x14ac:dyDescent="0.35">
      <c r="A268" s="1">
        <v>45171</v>
      </c>
      <c r="B268" s="72" t="s">
        <v>330</v>
      </c>
      <c r="C268" s="73">
        <v>2311730.5</v>
      </c>
      <c r="D268" s="73">
        <f>C268/2</f>
        <v>1155865.25</v>
      </c>
      <c r="E268" s="73">
        <f>C268/30</f>
        <v>77057.683333333334</v>
      </c>
      <c r="F268" s="73">
        <f>E268*8</f>
        <v>616461.46666666667</v>
      </c>
      <c r="G268" s="74">
        <v>7</v>
      </c>
      <c r="H268" s="53">
        <f>C268/30*7*0.8</f>
        <v>431523.02666666667</v>
      </c>
      <c r="I268" s="53">
        <f>C268/30*7*0.2</f>
        <v>107880.75666666667</v>
      </c>
      <c r="J268" s="14">
        <v>45171</v>
      </c>
      <c r="K268" s="12">
        <v>45177</v>
      </c>
      <c r="L268" s="12" t="s">
        <v>338</v>
      </c>
      <c r="M268" s="5" t="s">
        <v>324</v>
      </c>
    </row>
    <row r="269" spans="1:13" x14ac:dyDescent="0.35">
      <c r="A269" s="1">
        <v>45171</v>
      </c>
      <c r="B269" s="72" t="s">
        <v>53</v>
      </c>
      <c r="C269" s="73">
        <v>461114</v>
      </c>
      <c r="D269" s="73">
        <f t="shared" si="101"/>
        <v>230557</v>
      </c>
      <c r="E269" s="73">
        <f t="shared" si="102"/>
        <v>15370.466666666667</v>
      </c>
      <c r="F269" s="73">
        <f>E269*11</f>
        <v>169075.13333333333</v>
      </c>
      <c r="G269" s="74">
        <v>4</v>
      </c>
      <c r="H269" s="53">
        <f>C269/30*3*0.2+C269/30*1*0.8</f>
        <v>21518.653333333335</v>
      </c>
      <c r="I269" s="53">
        <f>C269/30*3*0.8+C269/30*1*0.2</f>
        <v>39963.213333333333</v>
      </c>
      <c r="J269" s="12">
        <v>45180</v>
      </c>
      <c r="K269" s="12">
        <v>45183</v>
      </c>
      <c r="L269" s="5" t="s">
        <v>335</v>
      </c>
      <c r="M269" s="5" t="s">
        <v>34</v>
      </c>
    </row>
    <row r="270" spans="1:13" x14ac:dyDescent="0.35">
      <c r="A270" s="1">
        <v>45171</v>
      </c>
      <c r="B270" s="72" t="s">
        <v>342</v>
      </c>
      <c r="C270" s="73">
        <v>3093245.5</v>
      </c>
      <c r="D270" s="73">
        <f t="shared" si="101"/>
        <v>1546622.75</v>
      </c>
      <c r="E270" s="73">
        <f t="shared" si="102"/>
        <v>103108.18333333333</v>
      </c>
      <c r="F270" s="73">
        <f t="shared" ref="F270" si="109">E270*13</f>
        <v>1340406.3833333333</v>
      </c>
      <c r="G270" s="74">
        <v>2</v>
      </c>
      <c r="H270" s="53">
        <f>C270/30*2*0.2</f>
        <v>41243.273333333338</v>
      </c>
      <c r="I270" s="53">
        <f t="shared" si="104"/>
        <v>164973.09333333335</v>
      </c>
      <c r="J270" s="12">
        <v>45187</v>
      </c>
      <c r="K270" s="12">
        <v>45188</v>
      </c>
      <c r="L270" s="5" t="s">
        <v>343</v>
      </c>
      <c r="M270" s="5" t="s">
        <v>34</v>
      </c>
    </row>
    <row r="271" spans="1:13" x14ac:dyDescent="0.35">
      <c r="A271" s="1">
        <v>45171</v>
      </c>
      <c r="B271" s="72" t="s">
        <v>309</v>
      </c>
      <c r="C271" s="73">
        <v>1398007</v>
      </c>
      <c r="D271" s="73">
        <f t="shared" ref="D271" si="110">C271/2</f>
        <v>699003.5</v>
      </c>
      <c r="E271" s="73">
        <f t="shared" ref="E271" si="111">C271/30</f>
        <v>46600.23333333333</v>
      </c>
      <c r="F271" s="73">
        <f>D271/2</f>
        <v>349501.75</v>
      </c>
      <c r="G271" s="74" t="s">
        <v>312</v>
      </c>
      <c r="H271" s="53">
        <v>0</v>
      </c>
      <c r="I271" s="53">
        <v>0</v>
      </c>
      <c r="J271" s="12">
        <v>45145</v>
      </c>
      <c r="K271" s="12">
        <v>45266</v>
      </c>
      <c r="L271" s="5" t="s">
        <v>310</v>
      </c>
      <c r="M271" s="5" t="s">
        <v>311</v>
      </c>
    </row>
    <row r="272" spans="1:13" x14ac:dyDescent="0.35">
      <c r="A272" s="1"/>
      <c r="B272" s="72"/>
      <c r="C272" s="73"/>
      <c r="D272" s="73"/>
      <c r="E272" s="73"/>
      <c r="F272" s="73"/>
      <c r="G272" s="74"/>
      <c r="H272" s="53">
        <f>SUM(H262:H271)</f>
        <v>701009.60333333339</v>
      </c>
      <c r="I272" s="53">
        <f>SUM(I262:I271)</f>
        <v>731769.66333333345</v>
      </c>
      <c r="J272" s="12"/>
      <c r="K272" s="12"/>
      <c r="L272" s="5"/>
      <c r="M272" s="5"/>
    </row>
    <row r="273" spans="1:13" x14ac:dyDescent="0.35">
      <c r="A273" s="1"/>
      <c r="B273" s="60" t="s">
        <v>37</v>
      </c>
      <c r="C273" s="73"/>
      <c r="D273" s="73"/>
      <c r="E273" s="73"/>
      <c r="F273" s="73"/>
      <c r="G273" s="74"/>
      <c r="H273" s="68">
        <f>H259+H272</f>
        <v>17551464.136666667</v>
      </c>
      <c r="I273" s="53"/>
      <c r="J273" s="12"/>
      <c r="K273" s="12"/>
      <c r="L273" s="5"/>
      <c r="M273" s="5"/>
    </row>
    <row r="274" spans="1:13" x14ac:dyDescent="0.35">
      <c r="A274" s="1"/>
      <c r="B274" s="61" t="s">
        <v>50</v>
      </c>
      <c r="C274" s="73"/>
      <c r="D274" s="73"/>
      <c r="E274" s="73"/>
      <c r="F274" s="73"/>
      <c r="G274" s="74"/>
      <c r="H274" s="53"/>
      <c r="I274" s="66">
        <f>I260-I272</f>
        <v>13222780.777986798</v>
      </c>
      <c r="J274" s="12"/>
      <c r="K274" s="12"/>
      <c r="L274" s="5"/>
      <c r="M274" s="5"/>
    </row>
    <row r="275" spans="1:13" s="45" customFormat="1" x14ac:dyDescent="0.35"/>
    <row r="276" spans="1:13" x14ac:dyDescent="0.35">
      <c r="A276" s="1">
        <v>45200</v>
      </c>
      <c r="B276" s="72" t="s">
        <v>42</v>
      </c>
      <c r="C276" s="73">
        <v>329260</v>
      </c>
      <c r="D276" s="73">
        <f t="shared" ref="D276:D282" si="112">C276/2</f>
        <v>164630</v>
      </c>
      <c r="E276" s="73">
        <f t="shared" ref="E276:E282" si="113">C276/30</f>
        <v>10975.333333333334</v>
      </c>
      <c r="F276" s="73">
        <f>E276*14</f>
        <v>153654.66666666669</v>
      </c>
      <c r="G276" s="74">
        <v>1</v>
      </c>
      <c r="H276" s="53">
        <f>C276/30*3*0.2+C276/30*1*0.8</f>
        <v>15365.466666666669</v>
      </c>
      <c r="I276" s="53">
        <f>C276/30*3*0.8+C276/30*1*0.2</f>
        <v>28535.866666666669</v>
      </c>
      <c r="J276" s="12">
        <v>45190</v>
      </c>
      <c r="K276" s="12">
        <v>45190</v>
      </c>
      <c r="L276" s="5" t="s">
        <v>348</v>
      </c>
      <c r="M276" s="5" t="s">
        <v>320</v>
      </c>
    </row>
    <row r="277" spans="1:13" x14ac:dyDescent="0.35">
      <c r="A277" s="1">
        <v>45200</v>
      </c>
      <c r="B277" s="72" t="s">
        <v>42</v>
      </c>
      <c r="C277" s="73"/>
      <c r="D277" s="73"/>
      <c r="E277" s="73"/>
      <c r="F277" s="73"/>
      <c r="G277" s="74">
        <v>3</v>
      </c>
      <c r="H277" s="53">
        <v>0</v>
      </c>
      <c r="I277" s="53">
        <v>0</v>
      </c>
      <c r="J277" s="12">
        <v>45208</v>
      </c>
      <c r="K277" s="12">
        <v>45210</v>
      </c>
      <c r="L277" s="5" t="s">
        <v>357</v>
      </c>
      <c r="M277" s="5" t="s">
        <v>34</v>
      </c>
    </row>
    <row r="278" spans="1:13" x14ac:dyDescent="0.35">
      <c r="A278" s="1">
        <v>45200</v>
      </c>
      <c r="B278" s="72" t="s">
        <v>103</v>
      </c>
      <c r="C278" s="73">
        <v>1624918</v>
      </c>
      <c r="D278" s="73">
        <f t="shared" si="112"/>
        <v>812459</v>
      </c>
      <c r="E278" s="73">
        <f t="shared" si="113"/>
        <v>54163.933333333334</v>
      </c>
      <c r="F278" s="73">
        <f>E278*13</f>
        <v>704131.1333333333</v>
      </c>
      <c r="G278" s="74">
        <v>2</v>
      </c>
      <c r="H278" s="53">
        <f>C278/30*2*0.2</f>
        <v>21665.573333333334</v>
      </c>
      <c r="I278" s="53">
        <f>C278/30*2*0.8</f>
        <v>86662.293333333335</v>
      </c>
      <c r="J278" s="12">
        <v>45202</v>
      </c>
      <c r="K278" s="12">
        <v>45203</v>
      </c>
      <c r="L278" s="5" t="s">
        <v>349</v>
      </c>
      <c r="M278" s="5" t="s">
        <v>351</v>
      </c>
    </row>
    <row r="279" spans="1:13" x14ac:dyDescent="0.35">
      <c r="A279" s="1">
        <v>45200</v>
      </c>
      <c r="B279" s="72" t="s">
        <v>141</v>
      </c>
      <c r="C279" s="73">
        <v>767773</v>
      </c>
      <c r="D279" s="73">
        <f t="shared" si="112"/>
        <v>383886.5</v>
      </c>
      <c r="E279" s="73">
        <f t="shared" si="113"/>
        <v>25592.433333333334</v>
      </c>
      <c r="F279" s="73">
        <f>E279*13</f>
        <v>332701.63333333336</v>
      </c>
      <c r="G279" s="74">
        <v>2</v>
      </c>
      <c r="H279" s="53">
        <f>C279/30*2*0.2</f>
        <v>10236.973333333335</v>
      </c>
      <c r="I279" s="53">
        <f>C279/30*2*0.8</f>
        <v>40947.893333333341</v>
      </c>
      <c r="J279" s="12">
        <v>45201</v>
      </c>
      <c r="K279" s="12">
        <v>45202</v>
      </c>
      <c r="L279" s="5" t="s">
        <v>350</v>
      </c>
      <c r="M279" s="5" t="s">
        <v>34</v>
      </c>
    </row>
    <row r="280" spans="1:13" x14ac:dyDescent="0.35">
      <c r="A280" s="1">
        <v>45200</v>
      </c>
      <c r="B280" s="72" t="s">
        <v>192</v>
      </c>
      <c r="C280" s="73">
        <v>1419886.5</v>
      </c>
      <c r="D280" s="73">
        <f t="shared" si="112"/>
        <v>709943.25</v>
      </c>
      <c r="E280" s="73">
        <f t="shared" si="113"/>
        <v>47329.55</v>
      </c>
      <c r="F280" s="73">
        <f>E280*7</f>
        <v>331306.85000000003</v>
      </c>
      <c r="G280" s="74">
        <v>8</v>
      </c>
      <c r="H280" s="53">
        <f>C280/30*3*0.2+C280/30*5*0.8</f>
        <v>217715.93000000002</v>
      </c>
      <c r="I280" s="53">
        <f>C280/30*3*0.8+C280/30*5*0.2</f>
        <v>160920.47000000003</v>
      </c>
      <c r="J280" s="12">
        <v>45205</v>
      </c>
      <c r="K280" s="12">
        <v>45212</v>
      </c>
      <c r="L280" s="5" t="s">
        <v>356</v>
      </c>
      <c r="M280" s="5" t="s">
        <v>29</v>
      </c>
    </row>
    <row r="281" spans="1:13" x14ac:dyDescent="0.35">
      <c r="A281" s="1">
        <v>45200</v>
      </c>
      <c r="B281" s="72" t="s">
        <v>354</v>
      </c>
      <c r="C281" s="73">
        <v>384204</v>
      </c>
      <c r="D281" s="73">
        <f t="shared" si="112"/>
        <v>192102</v>
      </c>
      <c r="E281" s="73">
        <f t="shared" si="113"/>
        <v>12806.8</v>
      </c>
      <c r="F281" s="73">
        <f>E281*13</f>
        <v>166488.4</v>
      </c>
      <c r="G281" s="74">
        <v>2</v>
      </c>
      <c r="H281" s="53">
        <f>C281/30*2*0.2</f>
        <v>5122.72</v>
      </c>
      <c r="I281" s="53">
        <f>C281/30*2*0.8</f>
        <v>20490.88</v>
      </c>
      <c r="J281" s="12">
        <v>45203</v>
      </c>
      <c r="K281" s="12">
        <v>45204</v>
      </c>
      <c r="L281" s="5" t="s">
        <v>355</v>
      </c>
      <c r="M281" s="5" t="s">
        <v>34</v>
      </c>
    </row>
    <row r="282" spans="1:13" x14ac:dyDescent="0.35">
      <c r="A282" s="1">
        <v>45200</v>
      </c>
      <c r="B282" s="72" t="s">
        <v>346</v>
      </c>
      <c r="C282" s="73">
        <v>1319367</v>
      </c>
      <c r="D282" s="73">
        <f t="shared" si="112"/>
        <v>659683.5</v>
      </c>
      <c r="E282" s="73">
        <f t="shared" si="113"/>
        <v>43978.9</v>
      </c>
      <c r="F282" s="73">
        <f>E282*12</f>
        <v>527746.80000000005</v>
      </c>
      <c r="G282" s="74">
        <v>3</v>
      </c>
      <c r="H282" s="53">
        <f>C282/30*2*0.2</f>
        <v>17591.560000000001</v>
      </c>
      <c r="I282" s="53">
        <f>C282/30*3*0.8</f>
        <v>105549.36000000002</v>
      </c>
      <c r="J282" s="12">
        <v>45194</v>
      </c>
      <c r="K282" s="12">
        <v>45196</v>
      </c>
      <c r="L282" s="5" t="s">
        <v>347</v>
      </c>
      <c r="M282" s="5" t="s">
        <v>34</v>
      </c>
    </row>
    <row r="283" spans="1:13" x14ac:dyDescent="0.35">
      <c r="A283" s="1">
        <v>45200</v>
      </c>
      <c r="B283" s="72" t="s">
        <v>247</v>
      </c>
      <c r="C283" s="73">
        <v>339955</v>
      </c>
      <c r="D283" s="73">
        <f t="shared" ref="D283" si="114">C283/2</f>
        <v>169977.5</v>
      </c>
      <c r="E283" s="73">
        <f t="shared" ref="E283" si="115">C283/30</f>
        <v>11331.833333333334</v>
      </c>
      <c r="F283" s="73">
        <v>0</v>
      </c>
      <c r="G283" s="74">
        <v>15</v>
      </c>
      <c r="H283" s="53">
        <f>C283/30*15*0.8</f>
        <v>135982</v>
      </c>
      <c r="I283" s="53">
        <f>C283/30*15*0.2</f>
        <v>33995.5</v>
      </c>
      <c r="J283" s="14">
        <v>45173</v>
      </c>
      <c r="K283" s="12">
        <v>45202</v>
      </c>
      <c r="L283" s="5" t="s">
        <v>341</v>
      </c>
      <c r="M283" s="5" t="s">
        <v>29</v>
      </c>
    </row>
    <row r="284" spans="1:13" x14ac:dyDescent="0.35">
      <c r="A284" s="1">
        <v>45200</v>
      </c>
      <c r="B284" s="72" t="s">
        <v>352</v>
      </c>
      <c r="C284" s="73">
        <v>385665</v>
      </c>
      <c r="D284" s="73">
        <f t="shared" ref="D284:D285" si="116">C284/2</f>
        <v>192832.5</v>
      </c>
      <c r="E284" s="73">
        <f t="shared" ref="E284:E285" si="117">C284/30</f>
        <v>12855.5</v>
      </c>
      <c r="F284" s="73">
        <f>E284*13</f>
        <v>167121.5</v>
      </c>
      <c r="G284" s="74">
        <v>2</v>
      </c>
      <c r="H284" s="53">
        <f>C284/30*2*0.2</f>
        <v>5142.2000000000007</v>
      </c>
      <c r="I284" s="53">
        <f>C284/30*2*0.8</f>
        <v>20568.800000000003</v>
      </c>
      <c r="J284" s="12">
        <v>45203</v>
      </c>
      <c r="K284" s="12">
        <v>45204</v>
      </c>
      <c r="L284" s="5" t="s">
        <v>353</v>
      </c>
      <c r="M284" s="5" t="s">
        <v>34</v>
      </c>
    </row>
    <row r="285" spans="1:13" x14ac:dyDescent="0.35">
      <c r="A285" s="1">
        <v>45200</v>
      </c>
      <c r="B285" s="72" t="s">
        <v>309</v>
      </c>
      <c r="C285" s="73">
        <v>1398007</v>
      </c>
      <c r="D285" s="73">
        <f t="shared" si="116"/>
        <v>699003.5</v>
      </c>
      <c r="E285" s="73">
        <f t="shared" si="117"/>
        <v>46600.23333333333</v>
      </c>
      <c r="F285" s="73">
        <f>D285/2</f>
        <v>349501.75</v>
      </c>
      <c r="G285" s="74" t="s">
        <v>312</v>
      </c>
      <c r="H285" s="53">
        <v>0</v>
      </c>
      <c r="I285" s="53">
        <v>0</v>
      </c>
      <c r="J285" s="12">
        <v>45145</v>
      </c>
      <c r="K285" s="12">
        <v>45266</v>
      </c>
      <c r="L285" s="5" t="s">
        <v>310</v>
      </c>
      <c r="M285" s="5" t="s">
        <v>311</v>
      </c>
    </row>
    <row r="286" spans="1:13" x14ac:dyDescent="0.35">
      <c r="A286" s="1"/>
      <c r="B286" s="72"/>
      <c r="C286" s="73"/>
      <c r="D286" s="73"/>
      <c r="E286" s="73"/>
      <c r="F286" s="73"/>
      <c r="G286" s="74"/>
      <c r="H286" s="53">
        <f>SUM(H276:H284)</f>
        <v>428822.42333333334</v>
      </c>
      <c r="I286" s="53">
        <f>SUM(I276:I284)</f>
        <v>497671.06333333341</v>
      </c>
      <c r="J286" s="12"/>
      <c r="K286" s="5"/>
      <c r="L286" s="5"/>
      <c r="M286" s="5"/>
    </row>
    <row r="287" spans="1:13" x14ac:dyDescent="0.35">
      <c r="A287" s="1"/>
      <c r="B287" s="60" t="s">
        <v>37</v>
      </c>
      <c r="C287" s="73"/>
      <c r="D287" s="73"/>
      <c r="E287" s="73"/>
      <c r="F287" s="73"/>
      <c r="G287" s="74"/>
      <c r="H287" s="68">
        <f>H273+H286</f>
        <v>17980286.559999999</v>
      </c>
      <c r="I287" s="53"/>
      <c r="J287" s="12"/>
      <c r="K287" s="5"/>
      <c r="L287" s="5"/>
      <c r="M287" s="5"/>
    </row>
    <row r="288" spans="1:13" x14ac:dyDescent="0.35">
      <c r="A288" s="1"/>
      <c r="B288" s="61" t="s">
        <v>50</v>
      </c>
      <c r="C288" s="73"/>
      <c r="D288" s="73"/>
      <c r="E288" s="73"/>
      <c r="F288" s="73"/>
      <c r="G288" s="74"/>
      <c r="H288" s="53"/>
      <c r="I288" s="66">
        <f>I274-I286</f>
        <v>12725109.714653466</v>
      </c>
      <c r="J288" s="12"/>
      <c r="K288" s="5"/>
      <c r="L288" s="5"/>
      <c r="M288" s="5"/>
    </row>
    <row r="289" spans="1:13" s="45" customFormat="1" x14ac:dyDescent="0.35"/>
    <row r="290" spans="1:13" s="70" customFormat="1" x14ac:dyDescent="0.35">
      <c r="A290" s="69">
        <v>45201</v>
      </c>
      <c r="B290" s="72" t="s">
        <v>42</v>
      </c>
      <c r="C290" s="73">
        <v>329260</v>
      </c>
      <c r="D290" s="73">
        <f t="shared" ref="D290" si="118">C290/2</f>
        <v>164630</v>
      </c>
      <c r="E290" s="73">
        <f t="shared" ref="E290" si="119">C290/30</f>
        <v>10975.333333333334</v>
      </c>
      <c r="F290" s="73">
        <f>E290*13</f>
        <v>142679.33333333334</v>
      </c>
      <c r="G290" s="74">
        <v>2</v>
      </c>
      <c r="H290" s="53">
        <f>C290/30*2*0.8</f>
        <v>17560.533333333336</v>
      </c>
      <c r="I290" s="53">
        <f>C290/30*2*0.2</f>
        <v>4390.1333333333341</v>
      </c>
      <c r="J290" s="12">
        <v>45204</v>
      </c>
      <c r="K290" s="12">
        <v>45205</v>
      </c>
      <c r="L290" s="5" t="s">
        <v>358</v>
      </c>
      <c r="M290" s="5" t="s">
        <v>359</v>
      </c>
    </row>
    <row r="291" spans="1:13" s="70" customFormat="1" x14ac:dyDescent="0.35">
      <c r="A291" s="69">
        <v>45201</v>
      </c>
      <c r="B291" s="72" t="s">
        <v>32</v>
      </c>
      <c r="C291" s="73">
        <v>423290</v>
      </c>
      <c r="D291" s="73">
        <f t="shared" ref="D291" si="120">C291/2</f>
        <v>211645</v>
      </c>
      <c r="E291" s="73">
        <f t="shared" ref="E291" si="121">C291/30</f>
        <v>14109.666666666666</v>
      </c>
      <c r="F291" s="73">
        <f>E291*14</f>
        <v>197535.33333333331</v>
      </c>
      <c r="G291" s="74">
        <v>1</v>
      </c>
      <c r="H291" s="53">
        <f>C291/30*1*0.2</f>
        <v>2821.9333333333334</v>
      </c>
      <c r="I291" s="53">
        <f>C291/30*1*0.8</f>
        <v>11287.733333333334</v>
      </c>
      <c r="J291" s="12">
        <v>45219</v>
      </c>
      <c r="K291" s="12">
        <v>45219</v>
      </c>
      <c r="L291" s="5" t="s">
        <v>362</v>
      </c>
      <c r="M291" s="5" t="s">
        <v>34</v>
      </c>
    </row>
    <row r="292" spans="1:13" s="70" customFormat="1" x14ac:dyDescent="0.35">
      <c r="A292" s="69">
        <v>45201</v>
      </c>
      <c r="B292" s="84" t="s">
        <v>217</v>
      </c>
      <c r="C292" s="73">
        <v>368619</v>
      </c>
      <c r="D292" s="73">
        <f t="shared" ref="D292" si="122">C292/2</f>
        <v>184309.5</v>
      </c>
      <c r="E292" s="73">
        <f t="shared" ref="E292" si="123">C292/30</f>
        <v>12287.3</v>
      </c>
      <c r="F292" s="73">
        <f>E292*13</f>
        <v>159734.9</v>
      </c>
      <c r="G292" s="74">
        <v>2</v>
      </c>
      <c r="H292" s="53">
        <f>C292/30*2*0.2</f>
        <v>4914.92</v>
      </c>
      <c r="I292" s="53">
        <f>C292/30*2*0.8</f>
        <v>19659.68</v>
      </c>
      <c r="J292" s="12">
        <v>45218</v>
      </c>
      <c r="K292" s="12">
        <v>45219</v>
      </c>
      <c r="L292" s="69" t="s">
        <v>360</v>
      </c>
      <c r="M292" s="79" t="s">
        <v>34</v>
      </c>
    </row>
    <row r="293" spans="1:13" s="70" customFormat="1" x14ac:dyDescent="0.35">
      <c r="A293" s="69">
        <v>45201</v>
      </c>
      <c r="B293" s="84" t="s">
        <v>185</v>
      </c>
      <c r="C293" s="73">
        <v>329260</v>
      </c>
      <c r="D293" s="73">
        <f t="shared" ref="D293" si="124">C293/2</f>
        <v>164630</v>
      </c>
      <c r="E293" s="73">
        <f t="shared" ref="E293" si="125">C293/30</f>
        <v>10975.333333333334</v>
      </c>
      <c r="F293" s="73">
        <f>E293*14</f>
        <v>153654.66666666669</v>
      </c>
      <c r="G293" s="74">
        <v>1</v>
      </c>
      <c r="H293" s="53">
        <f>C293/30*1*0.2</f>
        <v>2195.0666666666671</v>
      </c>
      <c r="I293" s="53">
        <f>C293/30*1*0.8</f>
        <v>8780.2666666666682</v>
      </c>
      <c r="J293" s="12">
        <v>45217</v>
      </c>
      <c r="K293" s="12">
        <v>45217</v>
      </c>
      <c r="L293" s="69" t="s">
        <v>361</v>
      </c>
      <c r="M293" s="79" t="s">
        <v>34</v>
      </c>
    </row>
    <row r="294" spans="1:13" s="70" customFormat="1" x14ac:dyDescent="0.35">
      <c r="A294" s="69">
        <v>45201</v>
      </c>
      <c r="B294" s="84" t="s">
        <v>363</v>
      </c>
      <c r="C294" s="73">
        <v>1798637.5</v>
      </c>
      <c r="D294" s="73">
        <f t="shared" ref="D294" si="126">C294/2</f>
        <v>899318.75</v>
      </c>
      <c r="E294" s="73">
        <f t="shared" ref="E294" si="127">C294/30</f>
        <v>59954.583333333336</v>
      </c>
      <c r="F294" s="73">
        <f>E294*14</f>
        <v>839364.16666666674</v>
      </c>
      <c r="G294" s="74">
        <v>1</v>
      </c>
      <c r="H294" s="53">
        <f>C294/30*1*0.2</f>
        <v>11990.916666666668</v>
      </c>
      <c r="I294" s="53">
        <f>C294/30*1*0.8</f>
        <v>47963.666666666672</v>
      </c>
      <c r="J294" s="69">
        <v>45218</v>
      </c>
      <c r="K294" s="69" t="s">
        <v>364</v>
      </c>
      <c r="L294" s="69" t="s">
        <v>365</v>
      </c>
      <c r="M294" s="79" t="s">
        <v>34</v>
      </c>
    </row>
    <row r="295" spans="1:13" s="70" customFormat="1" x14ac:dyDescent="0.35">
      <c r="A295" s="69">
        <v>45201</v>
      </c>
      <c r="B295" s="72" t="s">
        <v>309</v>
      </c>
      <c r="C295" s="73">
        <v>1398007</v>
      </c>
      <c r="D295" s="73">
        <f t="shared" ref="D295" si="128">C295/2</f>
        <v>699003.5</v>
      </c>
      <c r="E295" s="73">
        <f t="shared" ref="E295" si="129">C295/30</f>
        <v>46600.23333333333</v>
      </c>
      <c r="F295" s="73">
        <f>D295/2</f>
        <v>349501.75</v>
      </c>
      <c r="G295" s="74" t="s">
        <v>312</v>
      </c>
      <c r="H295" s="53">
        <v>0</v>
      </c>
      <c r="I295" s="53">
        <v>0</v>
      </c>
      <c r="J295" s="12">
        <v>45145</v>
      </c>
      <c r="K295" s="12">
        <v>45266</v>
      </c>
      <c r="L295" s="5" t="s">
        <v>310</v>
      </c>
      <c r="M295" s="5" t="s">
        <v>311</v>
      </c>
    </row>
    <row r="296" spans="1:13" s="70" customFormat="1" x14ac:dyDescent="0.35">
      <c r="A296" s="69"/>
      <c r="B296" s="84"/>
      <c r="C296" s="84"/>
      <c r="D296" s="84"/>
      <c r="E296" s="84"/>
      <c r="F296" s="84"/>
      <c r="G296" s="84"/>
      <c r="H296" s="53">
        <f>SUM(H290:H295)</f>
        <v>39483.37000000001</v>
      </c>
      <c r="I296" s="53">
        <f>SUM(I290:I295)</f>
        <v>92081.48000000001</v>
      </c>
      <c r="J296" s="69"/>
      <c r="K296" s="69"/>
      <c r="L296" s="69"/>
      <c r="M296" s="69"/>
    </row>
    <row r="297" spans="1:13" s="70" customFormat="1" x14ac:dyDescent="0.35">
      <c r="A297" s="69"/>
      <c r="B297" s="84"/>
      <c r="C297" s="84"/>
      <c r="D297" s="84"/>
      <c r="E297" s="84"/>
      <c r="F297" s="84"/>
      <c r="G297" s="84"/>
      <c r="H297" s="68">
        <f>H287+H296</f>
        <v>18019769.93</v>
      </c>
      <c r="I297" s="69"/>
      <c r="J297" s="69"/>
      <c r="K297" s="69"/>
      <c r="L297" s="69"/>
      <c r="M297" s="69"/>
    </row>
    <row r="298" spans="1:13" s="70" customFormat="1" x14ac:dyDescent="0.35">
      <c r="A298" s="69"/>
      <c r="B298" s="84"/>
      <c r="C298" s="84"/>
      <c r="D298" s="84"/>
      <c r="E298" s="84"/>
      <c r="F298" s="84"/>
      <c r="G298" s="84"/>
      <c r="H298" s="69"/>
      <c r="I298" s="66">
        <f>I288-I296</f>
        <v>12633028.234653465</v>
      </c>
      <c r="J298" s="69"/>
      <c r="K298" s="69"/>
      <c r="L298" s="69"/>
      <c r="M298" s="69"/>
    </row>
    <row r="299" spans="1:13" s="45" customFormat="1" x14ac:dyDescent="0.35"/>
    <row r="300" spans="1:13" s="70" customFormat="1" x14ac:dyDescent="0.35">
      <c r="A300" s="69">
        <v>45231</v>
      </c>
      <c r="B300" s="72" t="s">
        <v>370</v>
      </c>
      <c r="C300" s="73">
        <v>1398007</v>
      </c>
      <c r="D300" s="73">
        <f t="shared" ref="D300" si="130">C300/2</f>
        <v>699003.5</v>
      </c>
      <c r="E300" s="73">
        <f t="shared" ref="E300" si="131">C300/30</f>
        <v>46600.23333333333</v>
      </c>
      <c r="F300" s="73">
        <f>D300/2</f>
        <v>349501.75</v>
      </c>
      <c r="G300" s="74" t="s">
        <v>312</v>
      </c>
      <c r="H300" s="53">
        <v>0</v>
      </c>
      <c r="I300" s="53">
        <v>0</v>
      </c>
      <c r="J300" s="12">
        <v>45145</v>
      </c>
      <c r="K300" s="12">
        <v>45266</v>
      </c>
      <c r="L300" s="5" t="s">
        <v>310</v>
      </c>
      <c r="M300" s="5" t="s">
        <v>311</v>
      </c>
    </row>
    <row r="301" spans="1:13" s="70" customFormat="1" x14ac:dyDescent="0.35">
      <c r="A301" s="69">
        <v>45231</v>
      </c>
      <c r="B301" s="72" t="s">
        <v>42</v>
      </c>
      <c r="C301" s="73">
        <v>329260</v>
      </c>
      <c r="D301" s="73">
        <f t="shared" ref="D301" si="132">C301/2</f>
        <v>164630</v>
      </c>
      <c r="E301" s="73">
        <f t="shared" ref="E301" si="133">C301/30</f>
        <v>10975.333333333334</v>
      </c>
      <c r="F301" s="73">
        <v>0</v>
      </c>
      <c r="G301" s="74">
        <v>10</v>
      </c>
      <c r="H301" s="53">
        <v>0</v>
      </c>
      <c r="I301" s="53">
        <f>C301/30*3*0.8+C301/30*12*0.2</f>
        <v>52681.600000000006</v>
      </c>
      <c r="J301" s="12">
        <v>45219</v>
      </c>
      <c r="K301" s="12">
        <v>45225</v>
      </c>
      <c r="L301" s="69" t="s">
        <v>366</v>
      </c>
      <c r="M301" s="69" t="s">
        <v>367</v>
      </c>
    </row>
    <row r="302" spans="1:13" s="70" customFormat="1" x14ac:dyDescent="0.35">
      <c r="A302" s="69">
        <v>45231</v>
      </c>
      <c r="B302" s="72" t="s">
        <v>42</v>
      </c>
      <c r="C302" s="73">
        <v>0</v>
      </c>
      <c r="D302" s="73">
        <f t="shared" ref="D302:D303" si="134">C302/2</f>
        <v>0</v>
      </c>
      <c r="E302" s="73">
        <f t="shared" ref="E302:E303" si="135">C302/30</f>
        <v>0</v>
      </c>
      <c r="F302" s="73">
        <v>0</v>
      </c>
      <c r="G302" s="74">
        <v>12</v>
      </c>
      <c r="H302" s="53">
        <v>0</v>
      </c>
      <c r="I302" s="53">
        <v>0</v>
      </c>
      <c r="J302" s="12">
        <v>45229</v>
      </c>
      <c r="K302" s="12">
        <v>45240</v>
      </c>
      <c r="L302" s="69" t="s">
        <v>377</v>
      </c>
      <c r="M302" s="69" t="s">
        <v>378</v>
      </c>
    </row>
    <row r="303" spans="1:13" s="70" customFormat="1" x14ac:dyDescent="0.35">
      <c r="A303" s="69">
        <v>45231</v>
      </c>
      <c r="B303" s="72" t="s">
        <v>32</v>
      </c>
      <c r="C303" s="73">
        <v>423290</v>
      </c>
      <c r="D303" s="73">
        <f t="shared" si="134"/>
        <v>211645</v>
      </c>
      <c r="E303" s="73">
        <f t="shared" si="135"/>
        <v>14109.666666666666</v>
      </c>
      <c r="F303" s="73">
        <f>E303*13</f>
        <v>183425.66666666666</v>
      </c>
      <c r="G303" s="74">
        <v>2</v>
      </c>
      <c r="H303" s="53">
        <f>C303/30*2*0.2</f>
        <v>5643.8666666666668</v>
      </c>
      <c r="I303" s="53">
        <f>C303/30*2*0.8</f>
        <v>22575.466666666667</v>
      </c>
      <c r="J303" s="12">
        <v>45232</v>
      </c>
      <c r="K303" s="12">
        <v>45233</v>
      </c>
      <c r="L303" s="69" t="s">
        <v>385</v>
      </c>
      <c r="M303" s="69" t="s">
        <v>34</v>
      </c>
    </row>
    <row r="304" spans="1:13" s="70" customFormat="1" x14ac:dyDescent="0.35">
      <c r="A304" s="69">
        <v>45231</v>
      </c>
      <c r="B304" s="72" t="s">
        <v>387</v>
      </c>
      <c r="C304" s="73">
        <v>1691118</v>
      </c>
      <c r="D304" s="73">
        <f t="shared" ref="D304" si="136">C304/2</f>
        <v>845559</v>
      </c>
      <c r="E304" s="73">
        <f t="shared" ref="E304" si="137">C304/30</f>
        <v>56370.6</v>
      </c>
      <c r="F304" s="73">
        <f>E304*13</f>
        <v>732817.79999999993</v>
      </c>
      <c r="G304" s="74">
        <v>2</v>
      </c>
      <c r="H304" s="53">
        <f>C304/30*2*0.2</f>
        <v>22548.240000000002</v>
      </c>
      <c r="I304" s="53">
        <f>C304/30*2*0.8</f>
        <v>90192.960000000006</v>
      </c>
      <c r="J304" s="12">
        <v>45229</v>
      </c>
      <c r="K304" s="12">
        <v>45230</v>
      </c>
      <c r="L304" s="69" t="s">
        <v>388</v>
      </c>
      <c r="M304" s="69" t="s">
        <v>389</v>
      </c>
    </row>
    <row r="305" spans="1:13" s="70" customFormat="1" x14ac:dyDescent="0.35">
      <c r="A305" s="69">
        <v>45231</v>
      </c>
      <c r="B305" s="84" t="s">
        <v>371</v>
      </c>
      <c r="C305" s="73">
        <v>1988516.5</v>
      </c>
      <c r="D305" s="73">
        <f t="shared" ref="D305:D314" si="138">C305/2</f>
        <v>994258.25</v>
      </c>
      <c r="E305" s="73">
        <f t="shared" ref="E305:E314" si="139">C305/30</f>
        <v>66283.883333333331</v>
      </c>
      <c r="F305" s="73">
        <f>E305*10</f>
        <v>662838.83333333326</v>
      </c>
      <c r="G305" s="74">
        <v>4</v>
      </c>
      <c r="H305" s="53">
        <f>C305/30*3*0.2+C305/30*2*0.8</f>
        <v>145824.54333333333</v>
      </c>
      <c r="I305" s="53">
        <f>C305/30*3*0.8+C305/30*2*0.2</f>
        <v>185594.87333333335</v>
      </c>
      <c r="J305" s="12">
        <v>45223</v>
      </c>
      <c r="K305" s="12">
        <v>45226</v>
      </c>
      <c r="L305" s="69" t="s">
        <v>372</v>
      </c>
      <c r="M305" s="69" t="s">
        <v>34</v>
      </c>
    </row>
    <row r="306" spans="1:13" s="70" customFormat="1" x14ac:dyDescent="0.35">
      <c r="A306" s="69">
        <v>45231</v>
      </c>
      <c r="B306" s="84" t="s">
        <v>371</v>
      </c>
      <c r="C306" s="73">
        <v>0</v>
      </c>
      <c r="D306" s="73">
        <v>0</v>
      </c>
      <c r="E306" s="73">
        <f t="shared" si="139"/>
        <v>0</v>
      </c>
      <c r="F306" s="73">
        <v>0</v>
      </c>
      <c r="G306" s="74">
        <v>1</v>
      </c>
      <c r="H306" s="53">
        <v>0</v>
      </c>
      <c r="I306" s="53">
        <v>0</v>
      </c>
      <c r="J306" s="12">
        <v>45231</v>
      </c>
      <c r="K306" s="12">
        <v>45231</v>
      </c>
      <c r="L306" s="69" t="s">
        <v>382</v>
      </c>
      <c r="M306" s="69" t="s">
        <v>34</v>
      </c>
    </row>
    <row r="307" spans="1:13" s="70" customFormat="1" x14ac:dyDescent="0.35">
      <c r="A307" s="69">
        <v>45231</v>
      </c>
      <c r="B307" s="84" t="s">
        <v>35</v>
      </c>
      <c r="C307" s="73">
        <v>570858</v>
      </c>
      <c r="D307" s="73">
        <f t="shared" si="138"/>
        <v>285429</v>
      </c>
      <c r="E307" s="73">
        <f t="shared" si="139"/>
        <v>19028.599999999999</v>
      </c>
      <c r="F307" s="73">
        <f>E307*14</f>
        <v>266400.39999999997</v>
      </c>
      <c r="G307" s="74">
        <v>1</v>
      </c>
      <c r="H307" s="53">
        <f>C307/30*1*0.2</f>
        <v>3805.72</v>
      </c>
      <c r="I307" s="53">
        <f>C307/30*1*0.8</f>
        <v>15222.88</v>
      </c>
      <c r="J307" s="12">
        <v>45219</v>
      </c>
      <c r="K307" s="12">
        <v>45219</v>
      </c>
      <c r="L307" s="69" t="s">
        <v>368</v>
      </c>
      <c r="M307" s="69" t="s">
        <v>369</v>
      </c>
    </row>
    <row r="308" spans="1:13" s="70" customFormat="1" x14ac:dyDescent="0.35">
      <c r="A308" s="69">
        <v>45231</v>
      </c>
      <c r="B308" s="84" t="s">
        <v>67</v>
      </c>
      <c r="C308" s="73">
        <v>300252</v>
      </c>
      <c r="D308" s="73">
        <f t="shared" ref="D308" si="140">C308/2</f>
        <v>150126</v>
      </c>
      <c r="E308" s="73">
        <f t="shared" ref="E308" si="141">C308/30</f>
        <v>10008.4</v>
      </c>
      <c r="F308" s="73">
        <f>E308*14</f>
        <v>140117.6</v>
      </c>
      <c r="G308" s="74">
        <v>2</v>
      </c>
      <c r="H308" s="53">
        <f>C308/30*1*0.2</f>
        <v>2001.68</v>
      </c>
      <c r="I308" s="53">
        <f>C308/30*1*0.8</f>
        <v>8006.72</v>
      </c>
      <c r="J308" s="12">
        <v>45233</v>
      </c>
      <c r="K308" s="12">
        <v>45233</v>
      </c>
      <c r="L308" s="69" t="s">
        <v>386</v>
      </c>
      <c r="M308" s="69" t="s">
        <v>34</v>
      </c>
    </row>
    <row r="309" spans="1:13" s="70" customFormat="1" x14ac:dyDescent="0.35">
      <c r="A309" s="69">
        <v>45231</v>
      </c>
      <c r="B309" s="84" t="s">
        <v>374</v>
      </c>
      <c r="C309" s="73">
        <v>1519033</v>
      </c>
      <c r="D309" s="73">
        <f t="shared" si="138"/>
        <v>759516.5</v>
      </c>
      <c r="E309" s="73">
        <f t="shared" si="139"/>
        <v>50634.433333333334</v>
      </c>
      <c r="F309" s="73">
        <f>E309*14</f>
        <v>708882.06666666665</v>
      </c>
      <c r="G309" s="74">
        <v>1</v>
      </c>
      <c r="H309" s="53">
        <f>C309/30*1*0.2</f>
        <v>10126.886666666667</v>
      </c>
      <c r="I309" s="53">
        <f>C309/30*1*0.8</f>
        <v>40507.546666666669</v>
      </c>
      <c r="J309" s="12">
        <v>45225</v>
      </c>
      <c r="K309" s="12">
        <v>45225</v>
      </c>
      <c r="L309" s="69" t="s">
        <v>375</v>
      </c>
      <c r="M309" s="69" t="s">
        <v>376</v>
      </c>
    </row>
    <row r="310" spans="1:13" s="70" customFormat="1" x14ac:dyDescent="0.35">
      <c r="A310" s="69">
        <v>45231</v>
      </c>
      <c r="B310" s="84" t="s">
        <v>224</v>
      </c>
      <c r="C310" s="73">
        <v>949625</v>
      </c>
      <c r="D310" s="73">
        <f t="shared" ref="D310" si="142">C310/2</f>
        <v>474812.5</v>
      </c>
      <c r="E310" s="73">
        <f t="shared" ref="E310" si="143">C310/30</f>
        <v>31654.166666666668</v>
      </c>
      <c r="F310" s="73">
        <f>E310*12</f>
        <v>379850</v>
      </c>
      <c r="G310" s="74">
        <v>3</v>
      </c>
      <c r="H310" s="53">
        <f>C310/30*3*0.2</f>
        <v>18992.5</v>
      </c>
      <c r="I310" s="53">
        <f>C310/30*3*0.8</f>
        <v>75970</v>
      </c>
      <c r="J310" s="12">
        <v>45238</v>
      </c>
      <c r="K310" s="12">
        <v>45240</v>
      </c>
      <c r="L310" s="69" t="s">
        <v>390</v>
      </c>
      <c r="M310" s="69" t="s">
        <v>34</v>
      </c>
    </row>
    <row r="311" spans="1:13" s="70" customFormat="1" x14ac:dyDescent="0.35">
      <c r="A311" s="69">
        <v>45231</v>
      </c>
      <c r="B311" s="84" t="s">
        <v>352</v>
      </c>
      <c r="C311" s="73">
        <v>385665</v>
      </c>
      <c r="D311" s="73">
        <f t="shared" ref="D311" si="144">C311/2</f>
        <v>192832.5</v>
      </c>
      <c r="E311" s="73">
        <f t="shared" ref="E311" si="145">C311/30</f>
        <v>12855.5</v>
      </c>
      <c r="F311" s="73">
        <f>E311*12</f>
        <v>154266</v>
      </c>
      <c r="G311" s="74">
        <v>3</v>
      </c>
      <c r="H311" s="53">
        <f>C311/30*3*0.2</f>
        <v>7713.3</v>
      </c>
      <c r="I311" s="53">
        <f>C311/30*3*0.8</f>
        <v>30853.200000000001</v>
      </c>
      <c r="J311" s="12">
        <v>45237</v>
      </c>
      <c r="K311" s="12">
        <v>45239</v>
      </c>
      <c r="L311" s="69" t="s">
        <v>391</v>
      </c>
      <c r="M311" s="69" t="s">
        <v>34</v>
      </c>
    </row>
    <row r="312" spans="1:13" s="70" customFormat="1" x14ac:dyDescent="0.35">
      <c r="A312" s="69">
        <v>45231</v>
      </c>
      <c r="B312" s="84" t="s">
        <v>171</v>
      </c>
      <c r="C312" s="73">
        <v>320944</v>
      </c>
      <c r="D312" s="73">
        <f>C312/2</f>
        <v>160472</v>
      </c>
      <c r="E312" s="73">
        <f>C312/30</f>
        <v>10698.133333333333</v>
      </c>
      <c r="F312" s="73">
        <f>E312*11</f>
        <v>117679.46666666666</v>
      </c>
      <c r="G312" s="74">
        <v>2</v>
      </c>
      <c r="H312" s="53">
        <f>C312/30*3*0.2+C312/30*1*0.8</f>
        <v>14977.386666666667</v>
      </c>
      <c r="I312" s="53">
        <f>C312/30*3*0.8+C312/30*1*0.2</f>
        <v>27815.146666666671</v>
      </c>
      <c r="J312" s="12">
        <v>45223</v>
      </c>
      <c r="K312" s="12">
        <v>45224</v>
      </c>
      <c r="L312" s="69" t="s">
        <v>379</v>
      </c>
      <c r="M312" s="69" t="s">
        <v>381</v>
      </c>
    </row>
    <row r="313" spans="1:13" s="70" customFormat="1" x14ac:dyDescent="0.35">
      <c r="A313" s="69">
        <v>45231</v>
      </c>
      <c r="B313" s="84" t="s">
        <v>171</v>
      </c>
      <c r="C313" s="73">
        <v>0</v>
      </c>
      <c r="D313" s="73">
        <v>0</v>
      </c>
      <c r="E313" s="73">
        <v>0</v>
      </c>
      <c r="F313" s="73">
        <v>0</v>
      </c>
      <c r="G313" s="74">
        <v>2</v>
      </c>
      <c r="H313" s="53">
        <v>0</v>
      </c>
      <c r="I313" s="53">
        <v>0</v>
      </c>
      <c r="J313" s="12">
        <v>45225</v>
      </c>
      <c r="K313" s="12">
        <v>45226</v>
      </c>
      <c r="L313" s="69" t="s">
        <v>380</v>
      </c>
      <c r="M313" s="69" t="s">
        <v>381</v>
      </c>
    </row>
    <row r="314" spans="1:13" s="70" customFormat="1" x14ac:dyDescent="0.35">
      <c r="A314" s="69">
        <v>45231</v>
      </c>
      <c r="B314" s="84" t="s">
        <v>53</v>
      </c>
      <c r="C314" s="73">
        <v>461114</v>
      </c>
      <c r="D314" s="73">
        <f t="shared" si="138"/>
        <v>230557</v>
      </c>
      <c r="E314" s="73">
        <f t="shared" si="139"/>
        <v>15370.466666666667</v>
      </c>
      <c r="F314" s="73">
        <f>E314*10</f>
        <v>153704.66666666669</v>
      </c>
      <c r="G314" s="74">
        <v>5</v>
      </c>
      <c r="H314" s="53">
        <f>C314/30*3*0.2+C314/30*2*0.8</f>
        <v>33815.026666666672</v>
      </c>
      <c r="I314" s="53">
        <f>C314/30*3*0.8+C314/30*2*0.2</f>
        <v>43037.306666666671</v>
      </c>
      <c r="J314" s="12">
        <v>45222</v>
      </c>
      <c r="K314" s="12">
        <v>45226</v>
      </c>
      <c r="L314" s="69" t="s">
        <v>373</v>
      </c>
      <c r="M314" s="69" t="s">
        <v>34</v>
      </c>
    </row>
    <row r="315" spans="1:13" s="70" customFormat="1" x14ac:dyDescent="0.35">
      <c r="A315" s="69">
        <v>45231</v>
      </c>
      <c r="B315" s="84" t="s">
        <v>383</v>
      </c>
      <c r="C315" s="73">
        <v>1324714</v>
      </c>
      <c r="D315" s="73">
        <f>C315/2</f>
        <v>662357</v>
      </c>
      <c r="E315" s="73">
        <f>C315/30</f>
        <v>44157.133333333331</v>
      </c>
      <c r="F315" s="73">
        <f>E315*14</f>
        <v>618199.8666666667</v>
      </c>
      <c r="G315" s="74">
        <v>1</v>
      </c>
      <c r="H315" s="53">
        <f>C315/30*1*0.2</f>
        <v>8831.4266666666663</v>
      </c>
      <c r="I315" s="53">
        <f>C315/30*1*0.8</f>
        <v>35325.706666666665</v>
      </c>
      <c r="J315" s="12">
        <v>45231</v>
      </c>
      <c r="K315" s="12">
        <v>45231</v>
      </c>
      <c r="L315" s="69" t="s">
        <v>384</v>
      </c>
      <c r="M315" s="69" t="s">
        <v>34</v>
      </c>
    </row>
    <row r="316" spans="1:13" s="70" customFormat="1" x14ac:dyDescent="0.35">
      <c r="A316" s="69"/>
      <c r="B316" s="84"/>
      <c r="C316" s="84"/>
      <c r="D316" s="84"/>
      <c r="E316" s="84"/>
      <c r="F316" s="84"/>
      <c r="G316" s="74"/>
      <c r="H316" s="53">
        <f>SUM(H300:H315)</f>
        <v>274280.57666666666</v>
      </c>
      <c r="I316" s="53">
        <f>SUM(I300:I315)</f>
        <v>627783.40666666673</v>
      </c>
      <c r="J316" s="69"/>
      <c r="K316" s="69"/>
      <c r="L316" s="69"/>
      <c r="M316" s="69"/>
    </row>
    <row r="317" spans="1:13" s="70" customFormat="1" x14ac:dyDescent="0.35">
      <c r="A317" s="69"/>
      <c r="B317" s="84"/>
      <c r="C317" s="84"/>
      <c r="D317" s="84"/>
      <c r="E317" s="84"/>
      <c r="F317" s="84"/>
      <c r="G317" s="74"/>
      <c r="H317" s="68">
        <f>H297+H316</f>
        <v>18294050.506666668</v>
      </c>
      <c r="I317" s="53"/>
      <c r="J317" s="69"/>
      <c r="K317" s="69"/>
      <c r="L317" s="69"/>
      <c r="M317" s="69"/>
    </row>
    <row r="318" spans="1:13" s="70" customFormat="1" x14ac:dyDescent="0.35">
      <c r="A318" s="69"/>
      <c r="B318" s="84"/>
      <c r="C318" s="84"/>
      <c r="D318" s="84"/>
      <c r="E318" s="84"/>
      <c r="F318" s="84"/>
      <c r="G318" s="74"/>
      <c r="H318" s="53"/>
      <c r="I318" s="66">
        <f>I298-I316</f>
        <v>12005244.827986799</v>
      </c>
      <c r="J318" s="69"/>
      <c r="K318" s="69"/>
      <c r="L318" s="69"/>
      <c r="M318" s="69"/>
    </row>
    <row r="319" spans="1:13" s="45" customFormat="1" x14ac:dyDescent="0.35"/>
    <row r="320" spans="1:13" s="70" customFormat="1" x14ac:dyDescent="0.35">
      <c r="A320" s="69"/>
      <c r="B320" s="84"/>
      <c r="C320" s="73"/>
      <c r="D320" s="84"/>
      <c r="E320" s="84"/>
      <c r="F320" s="84"/>
      <c r="G320" s="74"/>
      <c r="H320" s="53"/>
      <c r="I320" s="53"/>
      <c r="J320" s="69"/>
      <c r="K320" s="69"/>
      <c r="L320" s="69"/>
      <c r="M320" s="69"/>
    </row>
    <row r="321" spans="1:13" s="70" customFormat="1" x14ac:dyDescent="0.35">
      <c r="A321" s="69">
        <v>45232</v>
      </c>
      <c r="B321" s="72" t="s">
        <v>370</v>
      </c>
      <c r="C321" s="73">
        <v>1398007</v>
      </c>
      <c r="D321" s="73">
        <f t="shared" ref="D321" si="146">C321/2</f>
        <v>699003.5</v>
      </c>
      <c r="E321" s="73">
        <f t="shared" ref="E321" si="147">C321/30</f>
        <v>46600.23333333333</v>
      </c>
      <c r="F321" s="73">
        <f>D321/2</f>
        <v>349501.75</v>
      </c>
      <c r="G321" s="74" t="s">
        <v>312</v>
      </c>
      <c r="H321" s="53">
        <v>0</v>
      </c>
      <c r="I321" s="53">
        <v>0</v>
      </c>
      <c r="J321" s="12">
        <v>45145</v>
      </c>
      <c r="K321" s="12">
        <v>45266</v>
      </c>
      <c r="L321" s="5" t="s">
        <v>310</v>
      </c>
      <c r="M321" s="43" t="s">
        <v>311</v>
      </c>
    </row>
    <row r="322" spans="1:13" s="70" customFormat="1" x14ac:dyDescent="0.35">
      <c r="A322" s="69">
        <v>45232</v>
      </c>
      <c r="B322" s="72" t="s">
        <v>42</v>
      </c>
      <c r="C322" s="73">
        <v>329260</v>
      </c>
      <c r="D322" s="73">
        <f t="shared" ref="D322" si="148">C322/2</f>
        <v>164630</v>
      </c>
      <c r="E322" s="73">
        <f t="shared" ref="E322" si="149">C322/30</f>
        <v>10975.333333333334</v>
      </c>
      <c r="F322" s="73">
        <f>E322*8</f>
        <v>87802.666666666672</v>
      </c>
      <c r="G322" s="74">
        <v>7</v>
      </c>
      <c r="H322" s="53">
        <f>C322/30*7*0.8</f>
        <v>61461.866666666676</v>
      </c>
      <c r="I322" s="53">
        <f>C322/30*7*0.2</f>
        <v>15365.466666666669</v>
      </c>
      <c r="J322" s="12">
        <v>45229</v>
      </c>
      <c r="K322" s="12">
        <v>45240</v>
      </c>
      <c r="L322" s="69" t="s">
        <v>377</v>
      </c>
      <c r="M322" s="69" t="s">
        <v>378</v>
      </c>
    </row>
    <row r="323" spans="1:13" s="70" customFormat="1" x14ac:dyDescent="0.35">
      <c r="A323" s="69">
        <v>45232</v>
      </c>
      <c r="B323" s="72" t="s">
        <v>141</v>
      </c>
      <c r="C323" s="73">
        <v>767773</v>
      </c>
      <c r="D323" s="73">
        <f t="shared" ref="D323" si="150">C323/2</f>
        <v>383886.5</v>
      </c>
      <c r="E323" s="73">
        <f t="shared" ref="E323" si="151">C323/30</f>
        <v>25592.433333333334</v>
      </c>
      <c r="F323" s="73">
        <f>E323*14</f>
        <v>358294.06666666665</v>
      </c>
      <c r="G323" s="74">
        <v>1</v>
      </c>
      <c r="H323" s="53">
        <f>C323/30*1*0.2</f>
        <v>5118.4866666666676</v>
      </c>
      <c r="I323" s="53">
        <f>C323/30*1*0.8</f>
        <v>20473.94666666667</v>
      </c>
      <c r="J323" s="12">
        <v>45247</v>
      </c>
      <c r="K323" s="12">
        <v>45247</v>
      </c>
      <c r="L323" s="69" t="s">
        <v>400</v>
      </c>
      <c r="M323" s="69" t="s">
        <v>34</v>
      </c>
    </row>
    <row r="324" spans="1:13" s="70" customFormat="1" x14ac:dyDescent="0.35">
      <c r="A324" s="69">
        <v>45232</v>
      </c>
      <c r="B324" s="84" t="s">
        <v>265</v>
      </c>
      <c r="C324" s="73">
        <v>307504</v>
      </c>
      <c r="D324" s="73">
        <f t="shared" ref="D324" si="152">C324/2</f>
        <v>153752</v>
      </c>
      <c r="E324" s="73">
        <f t="shared" ref="E324" si="153">C324/30</f>
        <v>10250.133333333333</v>
      </c>
      <c r="F324" s="73">
        <f>E324*14</f>
        <v>143501.86666666667</v>
      </c>
      <c r="G324" s="74">
        <v>1</v>
      </c>
      <c r="H324" s="53">
        <f>C324/30*1*0.2</f>
        <v>2050.0266666666666</v>
      </c>
      <c r="I324" s="53">
        <f>C324/30*1*0.8</f>
        <v>8200.1066666666666</v>
      </c>
      <c r="J324" s="12">
        <v>45240</v>
      </c>
      <c r="K324" s="12">
        <v>45240</v>
      </c>
      <c r="L324" s="69" t="s">
        <v>396</v>
      </c>
      <c r="M324" s="69" t="s">
        <v>34</v>
      </c>
    </row>
    <row r="325" spans="1:13" s="70" customFormat="1" x14ac:dyDescent="0.35">
      <c r="A325" s="69">
        <v>45232</v>
      </c>
      <c r="B325" s="84" t="s">
        <v>398</v>
      </c>
      <c r="C325" s="73">
        <v>1417327.5</v>
      </c>
      <c r="D325" s="73">
        <f t="shared" ref="D325:D326" si="154">C325/2</f>
        <v>708663.75</v>
      </c>
      <c r="E325" s="73">
        <f t="shared" ref="E325:E326" si="155">C325/30</f>
        <v>47244.25</v>
      </c>
      <c r="F325" s="73">
        <f t="shared" ref="F325:F326" si="156">E325*8</f>
        <v>377954</v>
      </c>
      <c r="G325" s="74">
        <v>2</v>
      </c>
      <c r="H325" s="53">
        <f>C325/30*2*0.2</f>
        <v>18897.7</v>
      </c>
      <c r="I325" s="53">
        <f>C325/30*2*0.8</f>
        <v>75590.8</v>
      </c>
      <c r="J325" s="12">
        <v>45243</v>
      </c>
      <c r="K325" s="12">
        <v>45244</v>
      </c>
      <c r="L325" s="69" t="s">
        <v>399</v>
      </c>
      <c r="M325" s="69" t="s">
        <v>34</v>
      </c>
    </row>
    <row r="326" spans="1:13" s="70" customFormat="1" x14ac:dyDescent="0.35">
      <c r="A326" s="69">
        <v>45232</v>
      </c>
      <c r="B326" s="84" t="s">
        <v>74</v>
      </c>
      <c r="C326" s="73">
        <v>778541</v>
      </c>
      <c r="D326" s="73">
        <f t="shared" si="154"/>
        <v>389270.5</v>
      </c>
      <c r="E326" s="73">
        <f t="shared" si="155"/>
        <v>25951.366666666665</v>
      </c>
      <c r="F326" s="73">
        <f t="shared" si="156"/>
        <v>207610.93333333332</v>
      </c>
      <c r="G326" s="74">
        <v>2</v>
      </c>
      <c r="H326" s="53">
        <f>C326/30*3*0.2+C326/30*4*0.8</f>
        <v>98615.193333333329</v>
      </c>
      <c r="I326" s="53">
        <f>C326/30*3*0.8+C326/30*4*0.2</f>
        <v>83044.373333333337</v>
      </c>
      <c r="J326" s="12">
        <v>45225</v>
      </c>
      <c r="K326" s="12">
        <v>45226</v>
      </c>
      <c r="L326" s="69" t="s">
        <v>392</v>
      </c>
      <c r="M326" s="69" t="s">
        <v>395</v>
      </c>
    </row>
    <row r="327" spans="1:13" s="70" customFormat="1" x14ac:dyDescent="0.35">
      <c r="A327" s="69">
        <v>45232</v>
      </c>
      <c r="B327" s="84" t="s">
        <v>74</v>
      </c>
      <c r="C327" s="73">
        <v>0</v>
      </c>
      <c r="D327" s="73">
        <v>0</v>
      </c>
      <c r="E327" s="73">
        <v>0</v>
      </c>
      <c r="F327" s="73">
        <v>0</v>
      </c>
      <c r="G327" s="74">
        <v>3</v>
      </c>
      <c r="H327" s="53">
        <v>0</v>
      </c>
      <c r="I327" s="53">
        <v>0</v>
      </c>
      <c r="J327" s="12">
        <v>45229</v>
      </c>
      <c r="K327" s="12">
        <v>45231</v>
      </c>
      <c r="L327" s="69" t="s">
        <v>393</v>
      </c>
      <c r="M327" s="69" t="s">
        <v>395</v>
      </c>
    </row>
    <row r="328" spans="1:13" s="70" customFormat="1" x14ac:dyDescent="0.35">
      <c r="A328" s="69">
        <v>45232</v>
      </c>
      <c r="B328" s="84" t="s">
        <v>74</v>
      </c>
      <c r="C328" s="73">
        <v>0</v>
      </c>
      <c r="D328" s="73">
        <v>0</v>
      </c>
      <c r="E328" s="73">
        <v>0</v>
      </c>
      <c r="F328" s="73">
        <v>0</v>
      </c>
      <c r="G328" s="74">
        <v>2</v>
      </c>
      <c r="H328" s="53">
        <v>0</v>
      </c>
      <c r="I328" s="53">
        <v>0</v>
      </c>
      <c r="J328" s="12">
        <v>45232</v>
      </c>
      <c r="K328" s="12">
        <v>45233</v>
      </c>
      <c r="L328" s="69" t="s">
        <v>394</v>
      </c>
      <c r="M328" s="69" t="s">
        <v>395</v>
      </c>
    </row>
    <row r="329" spans="1:13" s="70" customFormat="1" x14ac:dyDescent="0.35">
      <c r="A329" s="69">
        <v>45232</v>
      </c>
      <c r="B329" s="84" t="s">
        <v>352</v>
      </c>
      <c r="C329" s="73">
        <v>385665</v>
      </c>
      <c r="D329" s="73">
        <f t="shared" ref="D329" si="157">C329/2</f>
        <v>192832.5</v>
      </c>
      <c r="E329" s="73">
        <f t="shared" ref="E329" si="158">C329/30</f>
        <v>12855.5</v>
      </c>
      <c r="F329" s="73">
        <f>E329*14</f>
        <v>179977</v>
      </c>
      <c r="G329" s="74">
        <v>1</v>
      </c>
      <c r="H329" s="53">
        <f>C329/30*1*0.8</f>
        <v>10284.400000000001</v>
      </c>
      <c r="I329" s="53">
        <f>C329/30*1*0.2</f>
        <v>2571.1000000000004</v>
      </c>
      <c r="J329" s="12">
        <v>45240</v>
      </c>
      <c r="K329" s="12">
        <v>45240</v>
      </c>
      <c r="L329" s="69" t="s">
        <v>403</v>
      </c>
      <c r="M329" s="69" t="s">
        <v>34</v>
      </c>
    </row>
    <row r="330" spans="1:13" s="70" customFormat="1" x14ac:dyDescent="0.35">
      <c r="A330" s="69">
        <v>45232</v>
      </c>
      <c r="B330" s="84" t="s">
        <v>401</v>
      </c>
      <c r="C330" s="73">
        <v>1416191</v>
      </c>
      <c r="D330" s="73">
        <f>C330/2</f>
        <v>708095.5</v>
      </c>
      <c r="E330" s="73">
        <f>C330/30</f>
        <v>47206.366666666669</v>
      </c>
      <c r="F330" s="73">
        <f>E330*13</f>
        <v>613682.76666666672</v>
      </c>
      <c r="G330" s="74">
        <v>2</v>
      </c>
      <c r="H330" s="53">
        <f>C330/30*2*0.2</f>
        <v>18882.546666666669</v>
      </c>
      <c r="I330" s="53">
        <f>C330/30*2*0.8</f>
        <v>75530.186666666676</v>
      </c>
      <c r="J330" s="12">
        <v>45246</v>
      </c>
      <c r="K330" s="12">
        <v>45247</v>
      </c>
      <c r="L330" s="69" t="s">
        <v>402</v>
      </c>
      <c r="M330" s="69" t="s">
        <v>34</v>
      </c>
    </row>
    <row r="331" spans="1:13" s="70" customFormat="1" x14ac:dyDescent="0.35">
      <c r="A331" s="69">
        <v>45232</v>
      </c>
      <c r="B331" s="84" t="s">
        <v>296</v>
      </c>
      <c r="C331" s="73">
        <v>343050</v>
      </c>
      <c r="D331" s="73">
        <f>C331/2</f>
        <v>171525</v>
      </c>
      <c r="E331" s="73">
        <f>C331/30</f>
        <v>11435</v>
      </c>
      <c r="F331" s="73">
        <f>E331*14</f>
        <v>160090</v>
      </c>
      <c r="G331" s="74">
        <v>1</v>
      </c>
      <c r="H331" s="53">
        <f>C331/30*1*0.2</f>
        <v>2287</v>
      </c>
      <c r="I331" s="53">
        <f>C331/30*1*0.8</f>
        <v>9148</v>
      </c>
      <c r="J331" s="12">
        <v>45240</v>
      </c>
      <c r="K331" s="12">
        <v>45240</v>
      </c>
      <c r="L331" s="69" t="s">
        <v>397</v>
      </c>
      <c r="M331" s="69" t="s">
        <v>34</v>
      </c>
    </row>
    <row r="332" spans="1:13" s="70" customFormat="1" x14ac:dyDescent="0.35">
      <c r="A332" s="69"/>
      <c r="B332" s="84"/>
      <c r="C332" s="84"/>
      <c r="D332" s="84"/>
      <c r="E332" s="84"/>
      <c r="F332" s="84"/>
      <c r="G332" s="74"/>
      <c r="H332" s="53">
        <f>SUM(H321:H331)</f>
        <v>217597.22</v>
      </c>
      <c r="I332" s="53">
        <f>SUM(I321:I331)</f>
        <v>289923.98000000004</v>
      </c>
      <c r="J332" s="12"/>
      <c r="K332" s="69"/>
      <c r="L332" s="69"/>
      <c r="M332" s="69"/>
    </row>
    <row r="333" spans="1:13" s="70" customFormat="1" x14ac:dyDescent="0.35">
      <c r="A333" s="69"/>
      <c r="B333" s="84"/>
      <c r="C333" s="84"/>
      <c r="D333" s="84"/>
      <c r="E333" s="84"/>
      <c r="F333" s="84"/>
      <c r="G333" s="74"/>
      <c r="H333" s="68">
        <f>H317+H332</f>
        <v>18511647.726666667</v>
      </c>
      <c r="I333" s="53"/>
      <c r="J333" s="12"/>
      <c r="K333" s="69"/>
      <c r="L333" s="69"/>
      <c r="M333" s="69"/>
    </row>
    <row r="334" spans="1:13" s="70" customFormat="1" x14ac:dyDescent="0.35">
      <c r="A334" s="69"/>
      <c r="B334" s="84"/>
      <c r="C334" s="84"/>
      <c r="D334" s="84"/>
      <c r="E334" s="84"/>
      <c r="F334" s="84"/>
      <c r="G334" s="74"/>
      <c r="H334" s="53"/>
      <c r="I334" s="66">
        <f>I318-I332</f>
        <v>11715320.847986799</v>
      </c>
      <c r="J334" s="12"/>
      <c r="K334" s="69"/>
      <c r="L334" s="69"/>
      <c r="M334" s="69"/>
    </row>
    <row r="335" spans="1:13" s="45" customFormat="1" x14ac:dyDescent="0.35"/>
    <row r="336" spans="1:13" s="70" customFormat="1" x14ac:dyDescent="0.35">
      <c r="A336" s="69">
        <v>45261</v>
      </c>
      <c r="B336" s="43" t="s">
        <v>370</v>
      </c>
      <c r="C336" s="44">
        <v>1398007</v>
      </c>
      <c r="D336" s="44">
        <f t="shared" ref="D336:D342" si="159">C336/2</f>
        <v>699003.5</v>
      </c>
      <c r="E336" s="44">
        <f t="shared" ref="E336:E342" si="160">C336/30</f>
        <v>46600.23333333333</v>
      </c>
      <c r="F336" s="44">
        <f>D336/2</f>
        <v>349501.75</v>
      </c>
      <c r="G336" s="35" t="s">
        <v>312</v>
      </c>
      <c r="H336" s="53">
        <v>0</v>
      </c>
      <c r="I336" s="53">
        <v>0</v>
      </c>
      <c r="J336" s="12">
        <v>45145</v>
      </c>
      <c r="K336" s="12">
        <v>45266</v>
      </c>
      <c r="L336" s="5" t="s">
        <v>310</v>
      </c>
      <c r="M336" s="43" t="s">
        <v>311</v>
      </c>
    </row>
    <row r="337" spans="1:13" s="70" customFormat="1" x14ac:dyDescent="0.35">
      <c r="A337" s="69">
        <v>45261</v>
      </c>
      <c r="B337" s="43" t="s">
        <v>414</v>
      </c>
      <c r="C337" s="73">
        <v>2053297</v>
      </c>
      <c r="D337" s="44">
        <f>C337/2</f>
        <v>1026648.5</v>
      </c>
      <c r="E337" s="44">
        <f>C337/30</f>
        <v>68443.233333333337</v>
      </c>
      <c r="F337" s="44">
        <f>E337*10</f>
        <v>684432.33333333337</v>
      </c>
      <c r="G337" s="35">
        <v>1</v>
      </c>
      <c r="H337" s="53">
        <f>C337/30*3*0.2+C337/30*2*0.8</f>
        <v>150575.11333333334</v>
      </c>
      <c r="I337" s="53">
        <f>C337/30*3*0.8+C337/30*2*0.2</f>
        <v>191641.05333333334</v>
      </c>
      <c r="J337" s="12">
        <v>45260</v>
      </c>
      <c r="K337" s="12">
        <v>45260</v>
      </c>
      <c r="L337" s="5" t="s">
        <v>415</v>
      </c>
      <c r="M337" s="43" t="s">
        <v>34</v>
      </c>
    </row>
    <row r="338" spans="1:13" s="70" customFormat="1" x14ac:dyDescent="0.35">
      <c r="A338" s="69">
        <v>45261</v>
      </c>
      <c r="B338" s="43" t="s">
        <v>414</v>
      </c>
      <c r="C338" s="73">
        <v>0</v>
      </c>
      <c r="D338" s="44">
        <v>0</v>
      </c>
      <c r="E338" s="44">
        <v>0</v>
      </c>
      <c r="F338" s="44">
        <v>0</v>
      </c>
      <c r="G338" s="35">
        <v>4</v>
      </c>
      <c r="H338" s="53">
        <v>0</v>
      </c>
      <c r="I338" s="53">
        <v>0</v>
      </c>
      <c r="J338" s="12">
        <v>45264</v>
      </c>
      <c r="K338" s="12">
        <v>45267</v>
      </c>
      <c r="L338" s="5" t="s">
        <v>416</v>
      </c>
      <c r="M338" s="43" t="s">
        <v>34</v>
      </c>
    </row>
    <row r="339" spans="1:13" s="70" customFormat="1" x14ac:dyDescent="0.35">
      <c r="A339" s="69">
        <v>45261</v>
      </c>
      <c r="B339" s="43" t="s">
        <v>411</v>
      </c>
      <c r="C339" s="73">
        <v>335740</v>
      </c>
      <c r="D339" s="44">
        <f t="shared" ref="D339" si="161">C339/2</f>
        <v>167870</v>
      </c>
      <c r="E339" s="44">
        <f t="shared" ref="E339" si="162">C339/30</f>
        <v>11191.333333333334</v>
      </c>
      <c r="F339" s="44">
        <v>0</v>
      </c>
      <c r="G339" s="35">
        <v>15</v>
      </c>
      <c r="H339" s="53">
        <f>C339/30*3*0.2+C339/30*12*0.8</f>
        <v>114151.6</v>
      </c>
      <c r="I339" s="53">
        <f>C339/30*3*0.8+C339/30*12*0.2</f>
        <v>53718.400000000001</v>
      </c>
      <c r="J339" s="12">
        <v>45253</v>
      </c>
      <c r="K339" s="12">
        <v>45253</v>
      </c>
      <c r="L339" s="5" t="s">
        <v>412</v>
      </c>
      <c r="M339" s="43" t="s">
        <v>413</v>
      </c>
    </row>
    <row r="340" spans="1:13" s="70" customFormat="1" x14ac:dyDescent="0.35">
      <c r="A340" s="69">
        <v>45261</v>
      </c>
      <c r="B340" s="69" t="s">
        <v>42</v>
      </c>
      <c r="C340" s="73">
        <v>329260</v>
      </c>
      <c r="D340" s="44">
        <f t="shared" si="159"/>
        <v>164630</v>
      </c>
      <c r="E340" s="44">
        <f t="shared" si="160"/>
        <v>10975.333333333334</v>
      </c>
      <c r="F340" s="44">
        <f>E340*10</f>
        <v>109753.33333333334</v>
      </c>
      <c r="G340" s="35">
        <v>1</v>
      </c>
      <c r="H340" s="53">
        <f>C340/30*5*0.8</f>
        <v>43901.333333333343</v>
      </c>
      <c r="I340" s="53">
        <f>C340/30*5*0.2</f>
        <v>10975.333333333336</v>
      </c>
      <c r="J340" s="12">
        <v>45253</v>
      </c>
      <c r="K340" s="12">
        <v>45253</v>
      </c>
      <c r="L340" s="69" t="s">
        <v>408</v>
      </c>
      <c r="M340" s="69" t="s">
        <v>47</v>
      </c>
    </row>
    <row r="341" spans="1:13" s="70" customFormat="1" x14ac:dyDescent="0.35">
      <c r="A341" s="69">
        <v>45261</v>
      </c>
      <c r="B341" s="69" t="s">
        <v>42</v>
      </c>
      <c r="C341" s="44">
        <v>0</v>
      </c>
      <c r="D341" s="44">
        <f t="shared" si="159"/>
        <v>0</v>
      </c>
      <c r="E341" s="44">
        <f t="shared" si="160"/>
        <v>0</v>
      </c>
      <c r="F341" s="44"/>
      <c r="G341" s="35">
        <v>4</v>
      </c>
      <c r="H341" s="53">
        <v>0</v>
      </c>
      <c r="I341" s="53">
        <v>0</v>
      </c>
      <c r="J341" s="12">
        <v>45257</v>
      </c>
      <c r="K341" s="12">
        <v>45260</v>
      </c>
      <c r="L341" s="69" t="s">
        <v>409</v>
      </c>
      <c r="M341" s="69" t="s">
        <v>410</v>
      </c>
    </row>
    <row r="342" spans="1:13" s="70" customFormat="1" x14ac:dyDescent="0.35">
      <c r="A342" s="69">
        <v>45261</v>
      </c>
      <c r="B342" s="69" t="s">
        <v>179</v>
      </c>
      <c r="C342" s="44">
        <v>746023</v>
      </c>
      <c r="D342" s="44">
        <f t="shared" si="159"/>
        <v>373011.5</v>
      </c>
      <c r="E342" s="44">
        <f t="shared" si="160"/>
        <v>24867.433333333334</v>
      </c>
      <c r="F342" s="44">
        <f>E342*8</f>
        <v>198939.46666666667</v>
      </c>
      <c r="G342" s="35">
        <v>7</v>
      </c>
      <c r="H342" s="53">
        <f>C342/30*3*0.2+C342/30*4*0.8</f>
        <v>94496.246666666688</v>
      </c>
      <c r="I342" s="53">
        <f>C342/30*3*0.8+C342/30*4*0.2</f>
        <v>79575.786666666681</v>
      </c>
      <c r="J342" s="12">
        <v>45257</v>
      </c>
      <c r="K342" s="12">
        <v>45263</v>
      </c>
      <c r="L342" s="69" t="s">
        <v>406</v>
      </c>
      <c r="M342" s="69" t="s">
        <v>407</v>
      </c>
    </row>
    <row r="343" spans="1:13" s="70" customFormat="1" x14ac:dyDescent="0.35">
      <c r="A343" s="69">
        <v>45261</v>
      </c>
      <c r="B343" s="69" t="s">
        <v>420</v>
      </c>
      <c r="C343" s="44">
        <v>1083145</v>
      </c>
      <c r="D343" s="44">
        <f t="shared" ref="D343" si="163">C343/2</f>
        <v>541572.5</v>
      </c>
      <c r="E343" s="44">
        <f t="shared" ref="E343" si="164">C343/30</f>
        <v>36104.833333333336</v>
      </c>
      <c r="F343" s="44">
        <f>E343*13</f>
        <v>469362.83333333337</v>
      </c>
      <c r="G343" s="35">
        <v>2</v>
      </c>
      <c r="H343" s="53">
        <f>C343/30*2*0.2</f>
        <v>14441.933333333334</v>
      </c>
      <c r="I343" s="53">
        <f>C343/30*2*0.8</f>
        <v>57767.733333333337</v>
      </c>
      <c r="J343" s="12">
        <v>45267</v>
      </c>
      <c r="K343" s="12">
        <v>45268</v>
      </c>
      <c r="L343" s="69" t="s">
        <v>421</v>
      </c>
      <c r="M343" s="69" t="s">
        <v>34</v>
      </c>
    </row>
    <row r="344" spans="1:13" s="85" customFormat="1" x14ac:dyDescent="0.35">
      <c r="A344" s="69">
        <v>45261</v>
      </c>
      <c r="B344" s="69" t="s">
        <v>405</v>
      </c>
      <c r="C344" s="44">
        <v>1225346</v>
      </c>
      <c r="D344" s="44">
        <f t="shared" ref="D344:D345" si="165">C344/2</f>
        <v>612673</v>
      </c>
      <c r="E344" s="44">
        <f t="shared" ref="E344:E345" si="166">C344/30</f>
        <v>40844.866666666669</v>
      </c>
      <c r="F344" s="44">
        <f t="shared" ref="F344" si="167">E344*14</f>
        <v>571828.1333333333</v>
      </c>
      <c r="G344" s="35">
        <v>1</v>
      </c>
      <c r="H344" s="53">
        <f t="shared" ref="H344" si="168">C344/30*1*0.2</f>
        <v>8168.9733333333343</v>
      </c>
      <c r="I344" s="53">
        <f t="shared" ref="I344" si="169">C344/30*1*0.8</f>
        <v>32675.893333333337</v>
      </c>
      <c r="J344" s="12">
        <v>45254</v>
      </c>
      <c r="K344" s="12">
        <v>45254</v>
      </c>
      <c r="L344" s="69" t="s">
        <v>404</v>
      </c>
      <c r="M344" s="69" t="s">
        <v>34</v>
      </c>
    </row>
    <row r="345" spans="1:13" s="69" customFormat="1" x14ac:dyDescent="0.35">
      <c r="A345" s="69">
        <v>45261</v>
      </c>
      <c r="B345" s="69" t="s">
        <v>417</v>
      </c>
      <c r="C345" s="44">
        <v>1826662</v>
      </c>
      <c r="D345" s="44">
        <f t="shared" si="165"/>
        <v>913331</v>
      </c>
      <c r="E345" s="44">
        <f t="shared" si="166"/>
        <v>60888.73333333333</v>
      </c>
      <c r="F345" s="44">
        <f>E345*11</f>
        <v>669776.06666666665</v>
      </c>
      <c r="G345" s="35">
        <v>4</v>
      </c>
      <c r="H345" s="53">
        <f>C345/30*4*0.8</f>
        <v>194843.94666666666</v>
      </c>
      <c r="I345" s="53">
        <f>C345/30*4*0.2</f>
        <v>48710.986666666664</v>
      </c>
      <c r="J345" s="12">
        <v>45257</v>
      </c>
      <c r="K345" s="12" t="s">
        <v>418</v>
      </c>
      <c r="L345" s="69" t="s">
        <v>419</v>
      </c>
      <c r="M345" s="69" t="s">
        <v>56</v>
      </c>
    </row>
    <row r="346" spans="1:13" s="70" customFormat="1" x14ac:dyDescent="0.35">
      <c r="A346" s="69">
        <v>45261</v>
      </c>
      <c r="B346" s="43" t="s">
        <v>411</v>
      </c>
      <c r="C346" s="73">
        <v>335740</v>
      </c>
      <c r="D346" s="44">
        <f t="shared" ref="D346" si="170">C346/2</f>
        <v>167870</v>
      </c>
      <c r="E346" s="44">
        <f t="shared" ref="E346" si="171">C346/30</f>
        <v>11191.333333333334</v>
      </c>
      <c r="F346" s="44">
        <f>E346*8</f>
        <v>89530.666666666672</v>
      </c>
      <c r="G346" s="35">
        <v>7</v>
      </c>
      <c r="H346" s="53">
        <f>C346/30*7*0.8</f>
        <v>62671.466666666674</v>
      </c>
      <c r="I346" s="53">
        <f>C346/30*8*0.2</f>
        <v>17906.133333333335</v>
      </c>
      <c r="J346" s="12">
        <v>45245</v>
      </c>
      <c r="K346" s="12">
        <v>45253</v>
      </c>
      <c r="L346" s="5" t="s">
        <v>412</v>
      </c>
      <c r="M346" s="43" t="s">
        <v>413</v>
      </c>
    </row>
    <row r="347" spans="1:13" s="70" customFormat="1" x14ac:dyDescent="0.35">
      <c r="A347" s="69"/>
      <c r="B347" s="69"/>
      <c r="C347" s="69"/>
      <c r="D347" s="69"/>
      <c r="E347" s="69"/>
      <c r="F347" s="69"/>
      <c r="G347" s="35"/>
      <c r="H347" s="53">
        <f>SUM(H336:H346)</f>
        <v>683250.6133333334</v>
      </c>
      <c r="I347" s="53">
        <f>SUM(I336:I346)</f>
        <v>492971.32</v>
      </c>
      <c r="J347" s="12"/>
      <c r="K347" s="12"/>
      <c r="L347" s="69"/>
      <c r="M347" s="69"/>
    </row>
    <row r="348" spans="1:13" s="70" customFormat="1" x14ac:dyDescent="0.35">
      <c r="A348" s="69"/>
      <c r="B348" s="84"/>
      <c r="C348" s="84"/>
      <c r="D348" s="84"/>
      <c r="E348" s="84"/>
      <c r="F348" s="84"/>
      <c r="G348" s="74"/>
      <c r="H348" s="68">
        <f>H333+H347</f>
        <v>19194898.34</v>
      </c>
      <c r="I348" s="53"/>
      <c r="J348" s="12"/>
      <c r="K348" s="12"/>
      <c r="L348" s="69"/>
      <c r="M348" s="69"/>
    </row>
    <row r="349" spans="1:13" s="70" customFormat="1" x14ac:dyDescent="0.35">
      <c r="A349" s="69"/>
      <c r="B349" s="84"/>
      <c r="C349" s="84"/>
      <c r="D349" s="84"/>
      <c r="E349" s="84"/>
      <c r="F349" s="84"/>
      <c r="G349" s="74"/>
      <c r="H349" s="68"/>
      <c r="I349" s="66">
        <f>I334-I347</f>
        <v>11222349.527986798</v>
      </c>
      <c r="J349" s="12"/>
      <c r="K349" s="12"/>
      <c r="L349" s="69"/>
      <c r="M349" s="69"/>
    </row>
    <row r="350" spans="1:13" s="45" customFormat="1" x14ac:dyDescent="0.35"/>
    <row r="351" spans="1:13" s="70" customFormat="1" x14ac:dyDescent="0.35">
      <c r="A351" s="69">
        <v>45262</v>
      </c>
      <c r="B351" s="43" t="s">
        <v>370</v>
      </c>
      <c r="C351" s="44">
        <v>1398007</v>
      </c>
      <c r="D351" s="44">
        <f t="shared" ref="D351:D352" si="172">C351/2</f>
        <v>699003.5</v>
      </c>
      <c r="E351" s="44">
        <f t="shared" ref="E351:E352" si="173">C351/30</f>
        <v>46600.23333333333</v>
      </c>
      <c r="F351" s="44">
        <f>E351*13+E351*2/2</f>
        <v>652403.2666666666</v>
      </c>
      <c r="G351" s="35" t="s">
        <v>312</v>
      </c>
      <c r="H351" s="53">
        <f>E351*2/2</f>
        <v>46600.23333333333</v>
      </c>
      <c r="I351" s="53">
        <v>0</v>
      </c>
      <c r="J351" s="12">
        <v>45145</v>
      </c>
      <c r="K351" s="12">
        <v>45266</v>
      </c>
      <c r="L351" s="5" t="s">
        <v>310</v>
      </c>
      <c r="M351" s="43" t="s">
        <v>311</v>
      </c>
    </row>
    <row r="352" spans="1:13" s="70" customFormat="1" x14ac:dyDescent="0.35">
      <c r="A352" s="69">
        <v>45262</v>
      </c>
      <c r="B352" s="72" t="s">
        <v>42</v>
      </c>
      <c r="C352" s="73">
        <v>329260</v>
      </c>
      <c r="D352" s="73">
        <f t="shared" si="172"/>
        <v>164630</v>
      </c>
      <c r="E352" s="73">
        <f t="shared" si="173"/>
        <v>10975.333333333334</v>
      </c>
      <c r="F352" s="73">
        <f>E352*14</f>
        <v>153654.66666666669</v>
      </c>
      <c r="G352" s="35">
        <v>1</v>
      </c>
      <c r="H352" s="53">
        <f>C352/30*1*0.8</f>
        <v>8780.2666666666682</v>
      </c>
      <c r="I352" s="53">
        <f>C352/30*1*0.2</f>
        <v>2195.0666666666671</v>
      </c>
      <c r="J352" s="12">
        <v>45272</v>
      </c>
      <c r="K352" s="12">
        <v>45272</v>
      </c>
      <c r="L352" s="5" t="s">
        <v>430</v>
      </c>
      <c r="M352" s="43" t="s">
        <v>431</v>
      </c>
    </row>
    <row r="353" spans="1:13" s="70" customFormat="1" x14ac:dyDescent="0.35">
      <c r="A353" s="69">
        <v>45262</v>
      </c>
      <c r="B353" s="84" t="s">
        <v>90</v>
      </c>
      <c r="C353" s="73">
        <v>351753</v>
      </c>
      <c r="D353" s="73">
        <f>C353/2</f>
        <v>175876.5</v>
      </c>
      <c r="E353" s="73">
        <f>C353/30</f>
        <v>11725.1</v>
      </c>
      <c r="F353" s="73">
        <f>E353*14</f>
        <v>164151.4</v>
      </c>
      <c r="G353" s="74">
        <v>1</v>
      </c>
      <c r="H353" s="53">
        <f>C353/30*1*0.2</f>
        <v>2345.02</v>
      </c>
      <c r="I353" s="53">
        <f>C353/30*1*0.8</f>
        <v>9380.08</v>
      </c>
      <c r="J353" s="12">
        <v>45268</v>
      </c>
      <c r="K353" s="12">
        <v>45268</v>
      </c>
      <c r="L353" s="69" t="s">
        <v>425</v>
      </c>
      <c r="M353" s="69" t="s">
        <v>426</v>
      </c>
    </row>
    <row r="354" spans="1:13" s="70" customFormat="1" ht="18" customHeight="1" x14ac:dyDescent="0.35">
      <c r="A354" s="69">
        <v>45262</v>
      </c>
      <c r="B354" s="84" t="s">
        <v>175</v>
      </c>
      <c r="C354" s="73">
        <v>1638724</v>
      </c>
      <c r="D354" s="73">
        <f>C354/2</f>
        <v>819362</v>
      </c>
      <c r="E354" s="73">
        <f>C354/30</f>
        <v>54624.133333333331</v>
      </c>
      <c r="F354" s="73">
        <v>0</v>
      </c>
      <c r="G354" s="74">
        <v>15</v>
      </c>
      <c r="H354" s="53">
        <f>C354/30*3*0.2+C354/30*12*0.8</f>
        <v>557166.16</v>
      </c>
      <c r="I354" s="53">
        <f>C354/30*3*0.8+C354/30*12*0.2</f>
        <v>262195.84000000003</v>
      </c>
      <c r="J354" s="12">
        <v>45276</v>
      </c>
      <c r="K354" s="12">
        <v>45305</v>
      </c>
      <c r="L354" s="69" t="s">
        <v>429</v>
      </c>
      <c r="M354" s="69" t="s">
        <v>424</v>
      </c>
    </row>
    <row r="355" spans="1:13" s="70" customFormat="1" x14ac:dyDescent="0.35">
      <c r="A355" s="69">
        <v>45262</v>
      </c>
      <c r="B355" s="69" t="s">
        <v>422</v>
      </c>
      <c r="C355" s="44">
        <v>1324714</v>
      </c>
      <c r="D355" s="44">
        <f>C355/2</f>
        <v>662357</v>
      </c>
      <c r="E355" s="44">
        <f>C355/30</f>
        <v>44157.133333333331</v>
      </c>
      <c r="F355" s="44">
        <f>E355*12</f>
        <v>529885.6</v>
      </c>
      <c r="G355" s="35">
        <v>3</v>
      </c>
      <c r="H355" s="53">
        <f>C355/30*3*0.2</f>
        <v>26494.28</v>
      </c>
      <c r="I355" s="53">
        <f>C355/30*3*0.8</f>
        <v>105977.12</v>
      </c>
      <c r="J355" s="12">
        <v>45271</v>
      </c>
      <c r="K355" s="12">
        <v>45273</v>
      </c>
      <c r="L355" s="53" t="s">
        <v>423</v>
      </c>
      <c r="M355" s="53" t="s">
        <v>424</v>
      </c>
    </row>
    <row r="356" spans="1:13" s="69" customFormat="1" ht="16.5" customHeight="1" x14ac:dyDescent="0.35">
      <c r="A356" s="69">
        <v>45262</v>
      </c>
      <c r="B356" s="69" t="s">
        <v>427</v>
      </c>
      <c r="C356" s="44">
        <v>850293</v>
      </c>
      <c r="D356" s="44">
        <f t="shared" ref="D356" si="174">C356/2</f>
        <v>425146.5</v>
      </c>
      <c r="E356" s="44">
        <f t="shared" ref="E356" si="175">C356/30</f>
        <v>28343.1</v>
      </c>
      <c r="F356" s="44">
        <f>E356*13</f>
        <v>368460.3</v>
      </c>
      <c r="G356" s="35">
        <v>2</v>
      </c>
      <c r="H356" s="53">
        <f>C356/30*2*0.2</f>
        <v>11337.24</v>
      </c>
      <c r="I356" s="53">
        <f>C356/30*2*0.8</f>
        <v>45348.959999999999</v>
      </c>
      <c r="J356" s="12">
        <v>45273</v>
      </c>
      <c r="K356" s="12">
        <v>45274</v>
      </c>
      <c r="L356" s="69" t="s">
        <v>428</v>
      </c>
      <c r="M356" s="69" t="s">
        <v>34</v>
      </c>
    </row>
    <row r="357" spans="1:13" s="69" customFormat="1" ht="15.5" customHeight="1" x14ac:dyDescent="0.35">
      <c r="A357" s="69">
        <v>45292</v>
      </c>
      <c r="B357" s="84" t="s">
        <v>175</v>
      </c>
      <c r="C357" s="73">
        <v>1638724</v>
      </c>
      <c r="D357" s="73">
        <f>C357/2</f>
        <v>819362</v>
      </c>
      <c r="E357" s="73">
        <f>C357/30</f>
        <v>54624.133333333331</v>
      </c>
      <c r="F357" s="73">
        <v>0</v>
      </c>
      <c r="G357" s="74">
        <v>15</v>
      </c>
      <c r="H357" s="53">
        <f>C357/30*15*0.8</f>
        <v>655489.60000000009</v>
      </c>
      <c r="I357" s="53">
        <f>+C357/30*15*0.2</f>
        <v>163872.40000000002</v>
      </c>
      <c r="J357" s="12">
        <v>45276</v>
      </c>
      <c r="K357" s="12">
        <v>45305</v>
      </c>
      <c r="L357" s="69" t="s">
        <v>429</v>
      </c>
      <c r="M357" s="69" t="s">
        <v>424</v>
      </c>
    </row>
    <row r="358" spans="1:13" s="69" customFormat="1" x14ac:dyDescent="0.35">
      <c r="C358" s="44"/>
      <c r="D358" s="44"/>
      <c r="E358" s="44"/>
      <c r="F358" s="44"/>
      <c r="G358" s="35"/>
      <c r="H358" s="53"/>
      <c r="I358" s="53">
        <f>SUM(I351:I357)</f>
        <v>588969.46666666679</v>
      </c>
      <c r="J358" s="12"/>
      <c r="K358" s="12"/>
    </row>
    <row r="359" spans="1:13" s="69" customFormat="1" x14ac:dyDescent="0.35">
      <c r="D359" s="44"/>
      <c r="E359" s="44"/>
      <c r="F359" s="44"/>
      <c r="G359" s="35"/>
      <c r="H359" s="53"/>
      <c r="I359" s="53"/>
      <c r="J359" s="12"/>
      <c r="K359" s="12"/>
    </row>
    <row r="360" spans="1:13" s="69" customFormat="1" x14ac:dyDescent="0.35">
      <c r="D360" s="44"/>
      <c r="E360" s="44"/>
      <c r="F360" s="44"/>
      <c r="G360" s="35"/>
      <c r="H360" s="53"/>
      <c r="I360" s="53"/>
      <c r="J360" s="12"/>
      <c r="K360" s="12"/>
    </row>
    <row r="361" spans="1:13" s="69" customFormat="1" x14ac:dyDescent="0.35">
      <c r="E361" s="44"/>
      <c r="F361" s="44"/>
      <c r="G361" s="35"/>
      <c r="H361" s="53"/>
      <c r="I361" s="53"/>
      <c r="J361" s="12"/>
      <c r="K361" s="12"/>
    </row>
    <row r="362" spans="1:13" s="4" customFormat="1" x14ac:dyDescent="0.35">
      <c r="A362" s="1"/>
      <c r="B362" s="43"/>
      <c r="C362" s="5"/>
      <c r="D362" s="5"/>
      <c r="E362" s="5"/>
      <c r="F362" s="5"/>
      <c r="G362" s="35"/>
      <c r="H362" s="53"/>
      <c r="I362" s="53"/>
      <c r="J362" s="12"/>
      <c r="K362" s="12"/>
      <c r="L362" s="5"/>
      <c r="M362" s="5"/>
    </row>
    <row r="363" spans="1:13" x14ac:dyDescent="0.35">
      <c r="B363" s="28"/>
      <c r="C363" s="9"/>
      <c r="D363" s="9" t="s">
        <v>11</v>
      </c>
      <c r="E363" s="9" t="s">
        <v>12</v>
      </c>
      <c r="F363" s="9" t="s">
        <v>13</v>
      </c>
      <c r="G363" s="41"/>
      <c r="K363" s="86"/>
    </row>
    <row r="364" spans="1:13" x14ac:dyDescent="0.35">
      <c r="B364" s="24"/>
      <c r="C364" s="10" t="s">
        <v>14</v>
      </c>
      <c r="D364" s="7">
        <v>0.8</v>
      </c>
      <c r="E364" s="7">
        <v>0</v>
      </c>
      <c r="F364" s="7">
        <v>0.2</v>
      </c>
      <c r="G364" s="37"/>
    </row>
    <row r="365" spans="1:13" x14ac:dyDescent="0.35">
      <c r="B365" s="24"/>
      <c r="C365" s="10" t="s">
        <v>15</v>
      </c>
      <c r="D365" s="7">
        <v>0.2</v>
      </c>
      <c r="E365" s="7">
        <v>0.6</v>
      </c>
      <c r="F365" s="7">
        <v>0.2</v>
      </c>
      <c r="G365" s="37"/>
    </row>
    <row r="366" spans="1:13" x14ac:dyDescent="0.35">
      <c r="B366" s="24"/>
      <c r="C366" s="10" t="s">
        <v>16</v>
      </c>
      <c r="D366" s="7">
        <v>0.4</v>
      </c>
      <c r="E366" s="7">
        <v>0.6</v>
      </c>
      <c r="F366" s="10">
        <v>0</v>
      </c>
      <c r="G366" s="37"/>
    </row>
    <row r="367" spans="1:13" x14ac:dyDescent="0.35">
      <c r="B367" s="24"/>
      <c r="C367" s="10" t="s">
        <v>17</v>
      </c>
      <c r="D367" s="7">
        <v>0.5</v>
      </c>
      <c r="E367" s="7">
        <v>0.5</v>
      </c>
      <c r="F367" s="10">
        <v>0</v>
      </c>
      <c r="G367" s="37"/>
    </row>
    <row r="368" spans="1:13" ht="15" thickBot="1" x14ac:dyDescent="0.4">
      <c r="B368" s="25"/>
      <c r="C368" s="15"/>
      <c r="D368" s="16"/>
      <c r="E368" s="15"/>
      <c r="F368" s="16"/>
      <c r="G368" s="38"/>
      <c r="L368" s="6"/>
    </row>
    <row r="369" spans="2:7" ht="15" thickBot="1" x14ac:dyDescent="0.4">
      <c r="B369" s="26" t="s">
        <v>18</v>
      </c>
      <c r="C369" s="17"/>
      <c r="D369" s="18"/>
      <c r="E369" s="8"/>
      <c r="F369" s="18"/>
      <c r="G369" s="39"/>
    </row>
    <row r="370" spans="2:7" ht="15" thickBot="1" x14ac:dyDescent="0.4">
      <c r="B370" s="27"/>
      <c r="C370" s="18"/>
      <c r="D370" s="17"/>
      <c r="E370" s="18"/>
      <c r="F370" s="17"/>
      <c r="G370" s="40"/>
    </row>
    <row r="371" spans="2:7" x14ac:dyDescent="0.35">
      <c r="B371" s="28"/>
      <c r="C371" s="9" t="s">
        <v>19</v>
      </c>
      <c r="D371" s="9"/>
      <c r="E371" s="9"/>
      <c r="F371" s="19"/>
      <c r="G371" s="41"/>
    </row>
    <row r="372" spans="2:7" x14ac:dyDescent="0.35">
      <c r="B372" s="24"/>
      <c r="C372" s="10"/>
      <c r="D372" s="10" t="s">
        <v>11</v>
      </c>
      <c r="E372" s="10" t="s">
        <v>20</v>
      </c>
      <c r="F372" s="20" t="s">
        <v>21</v>
      </c>
      <c r="G372" s="37"/>
    </row>
    <row r="373" spans="2:7" x14ac:dyDescent="0.35">
      <c r="B373" s="24"/>
      <c r="C373" s="10" t="s">
        <v>22</v>
      </c>
      <c r="D373" s="7">
        <v>0.2</v>
      </c>
      <c r="E373" s="7">
        <v>0.6</v>
      </c>
      <c r="F373" s="20" t="s">
        <v>23</v>
      </c>
      <c r="G373" s="37"/>
    </row>
    <row r="374" spans="2:7" x14ac:dyDescent="0.35">
      <c r="B374" s="24"/>
      <c r="C374" s="10" t="s">
        <v>24</v>
      </c>
      <c r="D374" s="7">
        <v>0.4</v>
      </c>
      <c r="E374" s="7">
        <v>0.6</v>
      </c>
      <c r="F374" s="20" t="s">
        <v>25</v>
      </c>
      <c r="G374" s="37"/>
    </row>
    <row r="375" spans="2:7" x14ac:dyDescent="0.35">
      <c r="B375" s="24"/>
      <c r="C375" s="10" t="s">
        <v>26</v>
      </c>
      <c r="D375" s="10" t="s">
        <v>27</v>
      </c>
      <c r="E375" s="10"/>
      <c r="F375" s="20"/>
      <c r="G375" s="37"/>
    </row>
    <row r="376" spans="2:7" x14ac:dyDescent="0.35">
      <c r="B376" s="24"/>
      <c r="C376" s="10"/>
      <c r="D376" s="10"/>
      <c r="E376" s="10"/>
      <c r="F376" s="20"/>
      <c r="G376" s="37"/>
    </row>
    <row r="377" spans="2:7" ht="15" thickBot="1" x14ac:dyDescent="0.4">
      <c r="B377" s="29" t="s">
        <v>28</v>
      </c>
      <c r="C377" s="21"/>
      <c r="D377" s="11"/>
      <c r="E377" s="11"/>
      <c r="F377" s="22"/>
      <c r="G377" s="42"/>
    </row>
  </sheetData>
  <autoFilter ref="A1:M141" xr:uid="{00000000-0001-0000-0000-000000000000}"/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Hoja1!_Hlk132801961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lgsalazar</dc:creator>
  <cp:lastModifiedBy>Luis Guillermo Salazar Calderon</cp:lastModifiedBy>
  <dcterms:created xsi:type="dcterms:W3CDTF">2021-10-11T20:37:31Z</dcterms:created>
  <dcterms:modified xsi:type="dcterms:W3CDTF">2024-02-07T21:28:12Z</dcterms:modified>
</cp:coreProperties>
</file>